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dobyh\1\1\2025\ФІНПЛАНИ\2025\9 місяців 2025\"/>
    </mc:Choice>
  </mc:AlternateContent>
  <bookViews>
    <workbookView xWindow="0" yWindow="0" windowWidth="28800" windowHeight="12300" tabRatio="838" activeTab="4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кап" sheetId="24" r:id="rId4"/>
    <sheet name="Розшифровка за джерелами" sheetId="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4">'Розшифровка за джерелами'!$4:$5</definedName>
    <definedName name="_xlnm.Print_Titles" localSheetId="3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фінпла'!$A$1:$H$100</definedName>
    <definedName name="_xlnm.Print_Area" localSheetId="1">'Розшифровка 1 до Формування'!$A$1:$H$95</definedName>
    <definedName name="_xlnm.Print_Area" localSheetId="2">'Розшифровка 2 до формування'!$A$1:$H$251</definedName>
    <definedName name="_xlnm.Print_Area" localSheetId="4">'Розшифровка за джерелами'!$A$1:$P$223</definedName>
    <definedName name="_xlnm.Print_Area" localSheetId="3">'Розшифровка кап'!$A$1:$G$324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G40" i="24" l="1"/>
  <c r="F40" i="24"/>
  <c r="G39" i="24"/>
  <c r="F39" i="24"/>
  <c r="G38" i="24"/>
  <c r="F38" i="24"/>
  <c r="G37" i="24"/>
  <c r="F37" i="24"/>
  <c r="G36" i="24"/>
  <c r="F36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312" i="24"/>
  <c r="F312" i="24"/>
  <c r="G311" i="24"/>
  <c r="F311" i="24"/>
  <c r="G310" i="24"/>
  <c r="F310" i="24"/>
  <c r="G309" i="24"/>
  <c r="F309" i="24"/>
  <c r="G308" i="24"/>
  <c r="F308" i="24"/>
  <c r="G307" i="24"/>
  <c r="F307" i="24"/>
  <c r="G306" i="24"/>
  <c r="F306" i="24"/>
  <c r="G305" i="24"/>
  <c r="F305" i="24"/>
  <c r="G304" i="24"/>
  <c r="F304" i="24"/>
  <c r="G303" i="24"/>
  <c r="F303" i="24"/>
  <c r="G302" i="24"/>
  <c r="F302" i="24"/>
  <c r="G301" i="24"/>
  <c r="F301" i="24"/>
  <c r="G300" i="24"/>
  <c r="F300" i="24"/>
  <c r="G299" i="24"/>
  <c r="F299" i="24"/>
  <c r="G298" i="24"/>
  <c r="F298" i="24"/>
  <c r="G297" i="24"/>
  <c r="F297" i="24"/>
  <c r="G296" i="24"/>
  <c r="F296" i="24"/>
  <c r="G295" i="24"/>
  <c r="F295" i="24"/>
  <c r="G294" i="24"/>
  <c r="F294" i="24"/>
  <c r="G293" i="24"/>
  <c r="F293" i="24"/>
  <c r="G292" i="24"/>
  <c r="F292" i="24"/>
  <c r="G291" i="24"/>
  <c r="F291" i="24"/>
  <c r="G290" i="24"/>
  <c r="F290" i="24"/>
  <c r="G289" i="24"/>
  <c r="F289" i="24"/>
  <c r="G288" i="24"/>
  <c r="F288" i="24"/>
  <c r="G287" i="24"/>
  <c r="F287" i="24"/>
  <c r="G286" i="24"/>
  <c r="F286" i="24"/>
  <c r="G285" i="24"/>
  <c r="F285" i="24"/>
  <c r="G284" i="24"/>
  <c r="F284" i="24"/>
  <c r="G283" i="24"/>
  <c r="F283" i="24"/>
  <c r="G282" i="24"/>
  <c r="F282" i="24"/>
  <c r="G281" i="24"/>
  <c r="F281" i="24"/>
  <c r="G280" i="24"/>
  <c r="F280" i="24"/>
  <c r="G279" i="24"/>
  <c r="F279" i="24"/>
  <c r="G278" i="24"/>
  <c r="F278" i="24"/>
  <c r="G277" i="24"/>
  <c r="F277" i="24"/>
  <c r="G276" i="24"/>
  <c r="F276" i="24"/>
  <c r="G275" i="24"/>
  <c r="F275" i="24"/>
  <c r="G274" i="24"/>
  <c r="F274" i="24"/>
  <c r="G273" i="24"/>
  <c r="F273" i="24"/>
  <c r="G272" i="24"/>
  <c r="F272" i="24"/>
  <c r="G271" i="24"/>
  <c r="F271" i="24"/>
  <c r="G270" i="24"/>
  <c r="F270" i="24"/>
  <c r="G269" i="24"/>
  <c r="F269" i="24"/>
  <c r="G268" i="24"/>
  <c r="F268" i="24"/>
  <c r="G267" i="24"/>
  <c r="F267" i="24"/>
  <c r="G266" i="24"/>
  <c r="F266" i="24"/>
  <c r="G265" i="24"/>
  <c r="F265" i="24"/>
  <c r="G264" i="24"/>
  <c r="F264" i="24"/>
  <c r="G263" i="24"/>
  <c r="F263" i="24"/>
  <c r="G262" i="24"/>
  <c r="F262" i="24"/>
  <c r="G261" i="24"/>
  <c r="F261" i="24"/>
  <c r="G260" i="24"/>
  <c r="F260" i="24"/>
  <c r="G259" i="24"/>
  <c r="F259" i="24"/>
  <c r="G258" i="24"/>
  <c r="F258" i="24"/>
  <c r="G257" i="24"/>
  <c r="F257" i="24"/>
  <c r="G256" i="24"/>
  <c r="F256" i="24"/>
  <c r="G255" i="24"/>
  <c r="F255" i="24"/>
  <c r="G254" i="24"/>
  <c r="F254" i="24"/>
  <c r="G253" i="24"/>
  <c r="F253" i="24"/>
  <c r="G252" i="24"/>
  <c r="F252" i="24"/>
  <c r="G251" i="24"/>
  <c r="F251" i="24"/>
  <c r="G250" i="24"/>
  <c r="F250" i="24"/>
  <c r="G249" i="24"/>
  <c r="F249" i="24"/>
  <c r="G248" i="24"/>
  <c r="F248" i="24"/>
  <c r="G247" i="24"/>
  <c r="F247" i="24"/>
  <c r="G246" i="24"/>
  <c r="F246" i="24"/>
  <c r="G245" i="24"/>
  <c r="F245" i="24"/>
  <c r="G244" i="24"/>
  <c r="F244" i="24"/>
  <c r="G243" i="24"/>
  <c r="F243" i="24"/>
  <c r="G242" i="24"/>
  <c r="F242" i="24"/>
  <c r="G241" i="24"/>
  <c r="F241" i="24"/>
  <c r="G240" i="24"/>
  <c r="F240" i="24"/>
  <c r="G239" i="24"/>
  <c r="F239" i="24"/>
  <c r="G238" i="24"/>
  <c r="F238" i="24"/>
  <c r="G237" i="24"/>
  <c r="F237" i="24"/>
  <c r="G236" i="24"/>
  <c r="F236" i="24"/>
  <c r="G235" i="24"/>
  <c r="F235" i="24"/>
  <c r="G234" i="24"/>
  <c r="F234" i="24"/>
  <c r="G233" i="24"/>
  <c r="F233" i="24"/>
  <c r="G232" i="24"/>
  <c r="F232" i="24"/>
  <c r="G231" i="24"/>
  <c r="F231" i="24"/>
  <c r="G230" i="24"/>
  <c r="F230" i="24"/>
  <c r="G229" i="24"/>
  <c r="F229" i="24"/>
  <c r="G228" i="24"/>
  <c r="F228" i="24"/>
  <c r="G227" i="24"/>
  <c r="F227" i="24"/>
  <c r="G226" i="24"/>
  <c r="F226" i="24"/>
  <c r="G225" i="24"/>
  <c r="F225" i="24"/>
  <c r="G224" i="24"/>
  <c r="F224" i="24"/>
  <c r="G223" i="24"/>
  <c r="F223" i="24"/>
  <c r="G222" i="24"/>
  <c r="F222" i="24"/>
  <c r="G221" i="24"/>
  <c r="F221" i="24"/>
  <c r="G220" i="24"/>
  <c r="F220" i="24"/>
  <c r="G219" i="24"/>
  <c r="F219" i="24"/>
  <c r="G218" i="24"/>
  <c r="F218" i="24"/>
  <c r="G217" i="24"/>
  <c r="F217" i="24"/>
  <c r="G216" i="24"/>
  <c r="F216" i="24"/>
  <c r="G215" i="24"/>
  <c r="F215" i="24"/>
  <c r="G214" i="24"/>
  <c r="F214" i="24"/>
  <c r="G213" i="24"/>
  <c r="F213" i="24"/>
  <c r="G212" i="24"/>
  <c r="F212" i="24"/>
  <c r="G211" i="24"/>
  <c r="F211" i="24"/>
  <c r="G210" i="24"/>
  <c r="F210" i="24"/>
  <c r="G209" i="24"/>
  <c r="F209" i="24"/>
  <c r="G208" i="24"/>
  <c r="F208" i="24"/>
  <c r="G207" i="24"/>
  <c r="F207" i="24"/>
  <c r="G206" i="24"/>
  <c r="F206" i="24"/>
  <c r="G205" i="24"/>
  <c r="F205" i="24"/>
  <c r="G204" i="24"/>
  <c r="F204" i="24"/>
  <c r="G203" i="24"/>
  <c r="F203" i="24"/>
  <c r="G202" i="24"/>
  <c r="F202" i="24"/>
  <c r="G201" i="24"/>
  <c r="F201" i="24"/>
  <c r="G200" i="24"/>
  <c r="F200" i="24"/>
  <c r="G199" i="24"/>
  <c r="F199" i="24"/>
  <c r="G198" i="24"/>
  <c r="F198" i="24"/>
  <c r="G197" i="24"/>
  <c r="F197" i="24"/>
  <c r="G196" i="24"/>
  <c r="F196" i="24"/>
  <c r="G195" i="24"/>
  <c r="F195" i="24"/>
  <c r="G194" i="24"/>
  <c r="F194" i="24"/>
  <c r="G193" i="24"/>
  <c r="F193" i="24"/>
  <c r="G192" i="24"/>
  <c r="F192" i="24"/>
  <c r="G191" i="24"/>
  <c r="F191" i="24"/>
  <c r="G190" i="24"/>
  <c r="F190" i="24"/>
  <c r="G189" i="24"/>
  <c r="F189" i="24"/>
  <c r="G188" i="24"/>
  <c r="F188" i="24"/>
  <c r="G187" i="24"/>
  <c r="F187" i="24"/>
  <c r="G186" i="24"/>
  <c r="F186" i="24"/>
  <c r="G185" i="24"/>
  <c r="F185" i="24"/>
  <c r="G184" i="24"/>
  <c r="F184" i="24"/>
  <c r="G183" i="24"/>
  <c r="F183" i="24"/>
  <c r="G182" i="24"/>
  <c r="F182" i="24"/>
  <c r="G181" i="24"/>
  <c r="F181" i="24"/>
  <c r="G180" i="24"/>
  <c r="F180" i="24"/>
  <c r="G179" i="24"/>
  <c r="F179" i="24"/>
  <c r="G178" i="24"/>
  <c r="F178" i="24"/>
  <c r="G177" i="24"/>
  <c r="F177" i="24"/>
  <c r="G176" i="24"/>
  <c r="F176" i="24"/>
  <c r="G175" i="24"/>
  <c r="F175" i="24"/>
  <c r="G174" i="24"/>
  <c r="F174" i="24"/>
  <c r="G173" i="24"/>
  <c r="F173" i="24"/>
  <c r="G172" i="24"/>
  <c r="F172" i="24"/>
  <c r="G171" i="24"/>
  <c r="F171" i="24"/>
  <c r="G170" i="24"/>
  <c r="F170" i="24"/>
  <c r="G169" i="24"/>
  <c r="F169" i="24"/>
  <c r="G168" i="24"/>
  <c r="F168" i="24"/>
  <c r="G167" i="24"/>
  <c r="F167" i="24"/>
  <c r="G166" i="24"/>
  <c r="F166" i="24"/>
  <c r="G165" i="24"/>
  <c r="F165" i="24"/>
  <c r="G164" i="24"/>
  <c r="F164" i="24"/>
  <c r="G163" i="24"/>
  <c r="F163" i="24"/>
  <c r="G162" i="24"/>
  <c r="F162" i="24"/>
  <c r="G161" i="24"/>
  <c r="F161" i="24"/>
  <c r="G160" i="24"/>
  <c r="F160" i="24"/>
  <c r="G159" i="24"/>
  <c r="F159" i="24"/>
  <c r="G158" i="24"/>
  <c r="F158" i="24"/>
  <c r="G157" i="24"/>
  <c r="F157" i="24"/>
  <c r="G156" i="24"/>
  <c r="F156" i="24"/>
  <c r="G155" i="24"/>
  <c r="F155" i="24"/>
  <c r="G154" i="24"/>
  <c r="F154" i="24"/>
  <c r="G153" i="24"/>
  <c r="F153" i="24"/>
  <c r="G152" i="24"/>
  <c r="F152" i="24"/>
  <c r="G151" i="24"/>
  <c r="F151" i="24"/>
  <c r="G150" i="24"/>
  <c r="F150" i="24"/>
  <c r="G149" i="24"/>
  <c r="F149" i="24"/>
  <c r="G148" i="24"/>
  <c r="F148" i="24"/>
  <c r="G147" i="24"/>
  <c r="F147" i="24"/>
  <c r="G146" i="24"/>
  <c r="F146" i="24"/>
  <c r="G145" i="24"/>
  <c r="F145" i="24"/>
  <c r="G144" i="24"/>
  <c r="F144" i="24"/>
  <c r="G143" i="24"/>
  <c r="F143" i="24"/>
  <c r="G142" i="24"/>
  <c r="F142" i="24"/>
  <c r="G141" i="24"/>
  <c r="F141" i="24"/>
  <c r="G140" i="24"/>
  <c r="F140" i="24"/>
  <c r="G139" i="24"/>
  <c r="F139" i="24"/>
  <c r="G138" i="24"/>
  <c r="F138" i="24"/>
  <c r="G137" i="24"/>
  <c r="F137" i="24"/>
  <c r="G136" i="24"/>
  <c r="F136" i="24"/>
  <c r="G135" i="24"/>
  <c r="F135" i="24"/>
  <c r="G134" i="24"/>
  <c r="F134" i="24"/>
  <c r="G133" i="24"/>
  <c r="F133" i="24"/>
  <c r="G132" i="24"/>
  <c r="F132" i="24"/>
  <c r="G131" i="24"/>
  <c r="F131" i="24"/>
  <c r="G130" i="24"/>
  <c r="F130" i="24"/>
  <c r="G129" i="24"/>
  <c r="F129" i="24"/>
  <c r="G128" i="24"/>
  <c r="F128" i="24"/>
  <c r="G127" i="24"/>
  <c r="F127" i="24"/>
  <c r="G126" i="24"/>
  <c r="F126" i="24"/>
  <c r="G125" i="24"/>
  <c r="F125" i="24"/>
  <c r="G124" i="24"/>
  <c r="F124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M215" i="9" l="1"/>
  <c r="L215" i="9"/>
  <c r="K215" i="9"/>
  <c r="J215" i="9"/>
  <c r="I215" i="9"/>
  <c r="G215" i="9"/>
  <c r="G320" i="24"/>
  <c r="F320" i="24"/>
  <c r="G319" i="24"/>
  <c r="F319" i="24"/>
  <c r="G318" i="24"/>
  <c r="F318" i="24"/>
  <c r="G317" i="24"/>
  <c r="F317" i="24"/>
  <c r="G316" i="24"/>
  <c r="F316" i="24"/>
  <c r="G315" i="24"/>
  <c r="F315" i="24"/>
  <c r="G314" i="24"/>
  <c r="F314" i="24"/>
  <c r="G313" i="24"/>
  <c r="F313" i="24"/>
  <c r="P214" i="9"/>
  <c r="O214" i="9"/>
  <c r="P213" i="9"/>
  <c r="O213" i="9"/>
  <c r="P212" i="9"/>
  <c r="O212" i="9"/>
  <c r="P211" i="9"/>
  <c r="O211" i="9"/>
  <c r="P210" i="9"/>
  <c r="O210" i="9"/>
  <c r="P209" i="9"/>
  <c r="O209" i="9"/>
  <c r="P208" i="9"/>
  <c r="O208" i="9"/>
  <c r="P207" i="9"/>
  <c r="O207" i="9"/>
  <c r="P206" i="9"/>
  <c r="O206" i="9"/>
  <c r="P205" i="9"/>
  <c r="O205" i="9"/>
  <c r="P204" i="9"/>
  <c r="O204" i="9"/>
  <c r="P203" i="9"/>
  <c r="O203" i="9"/>
  <c r="P202" i="9"/>
  <c r="O202" i="9"/>
  <c r="P201" i="9"/>
  <c r="O201" i="9"/>
  <c r="P200" i="9"/>
  <c r="O200" i="9"/>
  <c r="P199" i="9"/>
  <c r="O199" i="9"/>
  <c r="P198" i="9"/>
  <c r="O198" i="9"/>
  <c r="P197" i="9"/>
  <c r="O197" i="9"/>
  <c r="P196" i="9"/>
  <c r="O196" i="9"/>
  <c r="P195" i="9"/>
  <c r="O195" i="9"/>
  <c r="P194" i="9"/>
  <c r="O194" i="9"/>
  <c r="P193" i="9"/>
  <c r="O193" i="9"/>
  <c r="P192" i="9"/>
  <c r="O192" i="9"/>
  <c r="P191" i="9"/>
  <c r="O191" i="9"/>
  <c r="P190" i="9"/>
  <c r="O190" i="9"/>
  <c r="P189" i="9"/>
  <c r="O189" i="9"/>
  <c r="P188" i="9"/>
  <c r="O188" i="9"/>
  <c r="P187" i="9"/>
  <c r="O187" i="9"/>
  <c r="P186" i="9"/>
  <c r="O186" i="9"/>
  <c r="P185" i="9"/>
  <c r="O185" i="9"/>
  <c r="P184" i="9"/>
  <c r="O184" i="9"/>
  <c r="P183" i="9"/>
  <c r="O183" i="9"/>
  <c r="P182" i="9"/>
  <c r="O182" i="9"/>
  <c r="P181" i="9"/>
  <c r="O181" i="9"/>
  <c r="P180" i="9"/>
  <c r="O180" i="9"/>
  <c r="P179" i="9"/>
  <c r="O179" i="9"/>
  <c r="P178" i="9"/>
  <c r="O178" i="9"/>
  <c r="P177" i="9"/>
  <c r="O177" i="9"/>
  <c r="P176" i="9"/>
  <c r="O176" i="9"/>
  <c r="P175" i="9"/>
  <c r="O175" i="9"/>
  <c r="P174" i="9"/>
  <c r="O174" i="9"/>
  <c r="P173" i="9"/>
  <c r="O173" i="9"/>
  <c r="P172" i="9"/>
  <c r="O172" i="9"/>
  <c r="P171" i="9"/>
  <c r="O171" i="9"/>
  <c r="P170" i="9"/>
  <c r="O170" i="9"/>
  <c r="P169" i="9"/>
  <c r="O169" i="9"/>
  <c r="P168" i="9"/>
  <c r="O168" i="9"/>
  <c r="P167" i="9"/>
  <c r="O167" i="9"/>
  <c r="P166" i="9"/>
  <c r="O166" i="9"/>
  <c r="P165" i="9"/>
  <c r="O165" i="9"/>
  <c r="P164" i="9"/>
  <c r="O164" i="9"/>
  <c r="P163" i="9"/>
  <c r="O163" i="9"/>
  <c r="P162" i="9"/>
  <c r="O162" i="9"/>
  <c r="P161" i="9"/>
  <c r="O161" i="9"/>
  <c r="P160" i="9"/>
  <c r="O160" i="9"/>
  <c r="P159" i="9"/>
  <c r="O159" i="9"/>
  <c r="P158" i="9"/>
  <c r="O158" i="9"/>
  <c r="P157" i="9"/>
  <c r="O157" i="9"/>
  <c r="P156" i="9"/>
  <c r="O156" i="9"/>
  <c r="P155" i="9"/>
  <c r="O155" i="9"/>
  <c r="P154" i="9"/>
  <c r="O154" i="9"/>
  <c r="P153" i="9"/>
  <c r="O153" i="9"/>
  <c r="P152" i="9"/>
  <c r="O152" i="9"/>
  <c r="P151" i="9"/>
  <c r="O151" i="9"/>
  <c r="P150" i="9"/>
  <c r="O150" i="9"/>
  <c r="P149" i="9"/>
  <c r="O149" i="9"/>
  <c r="P148" i="9"/>
  <c r="O148" i="9"/>
  <c r="P147" i="9"/>
  <c r="O147" i="9"/>
  <c r="P146" i="9"/>
  <c r="O146" i="9"/>
  <c r="P145" i="9"/>
  <c r="O145" i="9"/>
  <c r="P144" i="9"/>
  <c r="O144" i="9"/>
  <c r="P143" i="9"/>
  <c r="O143" i="9"/>
  <c r="P142" i="9"/>
  <c r="O142" i="9"/>
  <c r="P141" i="9"/>
  <c r="O141" i="9"/>
  <c r="P140" i="9"/>
  <c r="O140" i="9"/>
  <c r="P139" i="9"/>
  <c r="O139" i="9"/>
  <c r="P138" i="9"/>
  <c r="O138" i="9"/>
  <c r="P137" i="9"/>
  <c r="O137" i="9"/>
  <c r="P136" i="9"/>
  <c r="O136" i="9"/>
  <c r="P135" i="9"/>
  <c r="O135" i="9"/>
  <c r="P134" i="9"/>
  <c r="O134" i="9"/>
  <c r="P133" i="9"/>
  <c r="O133" i="9"/>
  <c r="P132" i="9"/>
  <c r="O132" i="9"/>
  <c r="P131" i="9"/>
  <c r="O131" i="9"/>
  <c r="P130" i="9"/>
  <c r="O130" i="9"/>
  <c r="P129" i="9"/>
  <c r="O129" i="9"/>
  <c r="P128" i="9"/>
  <c r="O128" i="9"/>
  <c r="P127" i="9"/>
  <c r="O127" i="9"/>
  <c r="P126" i="9"/>
  <c r="O126" i="9"/>
  <c r="P125" i="9"/>
  <c r="O125" i="9"/>
  <c r="P124" i="9"/>
  <c r="O124" i="9"/>
  <c r="P123" i="9"/>
  <c r="O123" i="9"/>
  <c r="P122" i="9"/>
  <c r="O122" i="9"/>
  <c r="P121" i="9"/>
  <c r="O121" i="9"/>
  <c r="P120" i="9"/>
  <c r="O120" i="9"/>
  <c r="P119" i="9"/>
  <c r="O119" i="9"/>
  <c r="P118" i="9"/>
  <c r="O118" i="9"/>
  <c r="P117" i="9"/>
  <c r="O117" i="9"/>
  <c r="P116" i="9"/>
  <c r="O116" i="9"/>
  <c r="P115" i="9"/>
  <c r="O115" i="9"/>
  <c r="P114" i="9"/>
  <c r="O114" i="9"/>
  <c r="P113" i="9"/>
  <c r="O113" i="9"/>
  <c r="P112" i="9"/>
  <c r="O112" i="9"/>
  <c r="P111" i="9"/>
  <c r="O111" i="9"/>
  <c r="P110" i="9"/>
  <c r="O110" i="9"/>
  <c r="P109" i="9"/>
  <c r="O109" i="9"/>
  <c r="P108" i="9"/>
  <c r="O108" i="9"/>
  <c r="P107" i="9"/>
  <c r="O107" i="9"/>
  <c r="P106" i="9"/>
  <c r="O106" i="9"/>
  <c r="P105" i="9"/>
  <c r="O105" i="9"/>
  <c r="P104" i="9"/>
  <c r="O104" i="9"/>
  <c r="P103" i="9"/>
  <c r="O103" i="9"/>
  <c r="P102" i="9"/>
  <c r="O102" i="9"/>
  <c r="P101" i="9"/>
  <c r="O101" i="9"/>
  <c r="P100" i="9"/>
  <c r="O100" i="9"/>
  <c r="P99" i="9"/>
  <c r="O99" i="9"/>
  <c r="P98" i="9"/>
  <c r="O98" i="9"/>
  <c r="P97" i="9"/>
  <c r="O97" i="9"/>
  <c r="P96" i="9"/>
  <c r="O96" i="9"/>
  <c r="P95" i="9"/>
  <c r="O95" i="9"/>
  <c r="P94" i="9"/>
  <c r="O94" i="9"/>
  <c r="P93" i="9"/>
  <c r="O93" i="9"/>
  <c r="P92" i="9"/>
  <c r="O92" i="9"/>
  <c r="P91" i="9"/>
  <c r="O91" i="9"/>
  <c r="P90" i="9"/>
  <c r="O90" i="9"/>
  <c r="P89" i="9"/>
  <c r="O89" i="9"/>
  <c r="P88" i="9"/>
  <c r="O88" i="9"/>
  <c r="P87" i="9"/>
  <c r="O87" i="9"/>
  <c r="P86" i="9"/>
  <c r="O86" i="9"/>
  <c r="P85" i="9"/>
  <c r="O85" i="9"/>
  <c r="P84" i="9"/>
  <c r="O84" i="9"/>
  <c r="P83" i="9"/>
  <c r="O83" i="9"/>
  <c r="P82" i="9"/>
  <c r="O82" i="9"/>
  <c r="P81" i="9"/>
  <c r="O81" i="9"/>
  <c r="P80" i="9"/>
  <c r="O80" i="9"/>
  <c r="P79" i="9"/>
  <c r="O79" i="9"/>
  <c r="P78" i="9"/>
  <c r="O78" i="9"/>
  <c r="P77" i="9"/>
  <c r="O77" i="9"/>
  <c r="P76" i="9"/>
  <c r="O76" i="9"/>
  <c r="P75" i="9"/>
  <c r="O75" i="9"/>
  <c r="P74" i="9"/>
  <c r="O74" i="9"/>
  <c r="P73" i="9"/>
  <c r="O73" i="9"/>
  <c r="P72" i="9"/>
  <c r="O72" i="9"/>
  <c r="P71" i="9"/>
  <c r="O71" i="9"/>
  <c r="P70" i="9"/>
  <c r="O70" i="9"/>
  <c r="P69" i="9"/>
  <c r="O69" i="9"/>
  <c r="P68" i="9"/>
  <c r="O68" i="9"/>
  <c r="P67" i="9"/>
  <c r="O67" i="9"/>
  <c r="P66" i="9"/>
  <c r="O66" i="9"/>
  <c r="P65" i="9"/>
  <c r="O65" i="9"/>
  <c r="P64" i="9"/>
  <c r="O64" i="9"/>
  <c r="P63" i="9"/>
  <c r="O63" i="9"/>
  <c r="P62" i="9"/>
  <c r="O62" i="9"/>
  <c r="P61" i="9"/>
  <c r="O61" i="9"/>
  <c r="P60" i="9"/>
  <c r="O60" i="9"/>
  <c r="P59" i="9"/>
  <c r="O59" i="9"/>
  <c r="P58" i="9"/>
  <c r="O58" i="9"/>
  <c r="P57" i="9"/>
  <c r="O57" i="9"/>
  <c r="P56" i="9"/>
  <c r="O56" i="9"/>
  <c r="P55" i="9"/>
  <c r="O55" i="9"/>
  <c r="P54" i="9"/>
  <c r="O54" i="9"/>
  <c r="P53" i="9"/>
  <c r="O53" i="9"/>
  <c r="P52" i="9"/>
  <c r="O52" i="9"/>
  <c r="P51" i="9"/>
  <c r="O51" i="9"/>
  <c r="P50" i="9"/>
  <c r="O50" i="9"/>
  <c r="P49" i="9"/>
  <c r="O49" i="9"/>
  <c r="P48" i="9"/>
  <c r="O48" i="9"/>
  <c r="P47" i="9"/>
  <c r="O47" i="9"/>
  <c r="P46" i="9"/>
  <c r="O46" i="9"/>
  <c r="O45" i="9"/>
  <c r="P44" i="9"/>
  <c r="O44" i="9"/>
  <c r="P43" i="9"/>
  <c r="O43" i="9"/>
  <c r="P42" i="9"/>
  <c r="O42" i="9"/>
  <c r="P41" i="9"/>
  <c r="O41" i="9"/>
  <c r="P40" i="9"/>
  <c r="O40" i="9"/>
  <c r="P39" i="9"/>
  <c r="O39" i="9"/>
  <c r="P38" i="9"/>
  <c r="O38" i="9"/>
  <c r="P37" i="9"/>
  <c r="O37" i="9"/>
  <c r="P36" i="9"/>
  <c r="O36" i="9"/>
  <c r="P35" i="9"/>
  <c r="O35" i="9"/>
  <c r="P34" i="9"/>
  <c r="O34" i="9"/>
  <c r="P33" i="9"/>
  <c r="O33" i="9"/>
  <c r="P32" i="9"/>
  <c r="O32" i="9"/>
  <c r="P31" i="9"/>
  <c r="O31" i="9"/>
  <c r="P30" i="9"/>
  <c r="O30" i="9"/>
  <c r="P29" i="9"/>
  <c r="O29" i="9"/>
  <c r="P28" i="9"/>
  <c r="O28" i="9"/>
  <c r="P27" i="9"/>
  <c r="O27" i="9"/>
  <c r="P26" i="9"/>
  <c r="O26" i="9"/>
  <c r="P25" i="9"/>
  <c r="O25" i="9"/>
  <c r="P24" i="9"/>
  <c r="O24" i="9"/>
  <c r="P23" i="9"/>
  <c r="O23" i="9"/>
  <c r="P22" i="9"/>
  <c r="O22" i="9"/>
  <c r="P21" i="9"/>
  <c r="O21" i="9"/>
  <c r="P20" i="9"/>
  <c r="O20" i="9"/>
  <c r="P19" i="9"/>
  <c r="O19" i="9"/>
  <c r="P18" i="9"/>
  <c r="O18" i="9"/>
  <c r="P17" i="9"/>
  <c r="O17" i="9"/>
  <c r="P16" i="9"/>
  <c r="O16" i="9"/>
  <c r="P15" i="9"/>
  <c r="O15" i="9"/>
  <c r="P14" i="9"/>
  <c r="O14" i="9"/>
  <c r="P13" i="9"/>
  <c r="O13" i="9"/>
  <c r="P12" i="9"/>
  <c r="O12" i="9"/>
  <c r="P11" i="9"/>
  <c r="O11" i="9"/>
  <c r="P10" i="9"/>
  <c r="O10" i="9"/>
  <c r="P8" i="9"/>
  <c r="O8" i="9"/>
  <c r="P7" i="9"/>
  <c r="O7" i="9"/>
  <c r="N214" i="9"/>
  <c r="N213" i="9"/>
  <c r="N212" i="9"/>
  <c r="N211" i="9"/>
  <c r="N210" i="9"/>
  <c r="N209" i="9"/>
  <c r="N208" i="9"/>
  <c r="N207" i="9"/>
  <c r="N206" i="9"/>
  <c r="N205" i="9"/>
  <c r="N204" i="9"/>
  <c r="N203" i="9"/>
  <c r="N202" i="9"/>
  <c r="N201" i="9"/>
  <c r="N200" i="9"/>
  <c r="N199" i="9"/>
  <c r="N198" i="9"/>
  <c r="N197" i="9"/>
  <c r="N196" i="9"/>
  <c r="N195" i="9"/>
  <c r="N194" i="9"/>
  <c r="N193" i="9"/>
  <c r="N192" i="9"/>
  <c r="N191" i="9"/>
  <c r="N190" i="9"/>
  <c r="N189" i="9"/>
  <c r="N188" i="9"/>
  <c r="N187" i="9"/>
  <c r="N186" i="9"/>
  <c r="N185" i="9"/>
  <c r="N184" i="9"/>
  <c r="N183" i="9"/>
  <c r="N182" i="9"/>
  <c r="N181" i="9"/>
  <c r="N180" i="9"/>
  <c r="N179" i="9"/>
  <c r="N178" i="9"/>
  <c r="N177" i="9"/>
  <c r="N176" i="9"/>
  <c r="N175" i="9"/>
  <c r="N174" i="9"/>
  <c r="N173" i="9"/>
  <c r="N172" i="9"/>
  <c r="N171" i="9"/>
  <c r="N170" i="9"/>
  <c r="N169" i="9"/>
  <c r="N168" i="9"/>
  <c r="N167" i="9"/>
  <c r="N166" i="9"/>
  <c r="N165" i="9"/>
  <c r="N164" i="9"/>
  <c r="N163" i="9"/>
  <c r="N162" i="9"/>
  <c r="N161" i="9"/>
  <c r="N160" i="9"/>
  <c r="N159" i="9"/>
  <c r="N158" i="9"/>
  <c r="N157" i="9"/>
  <c r="N156" i="9"/>
  <c r="N155" i="9"/>
  <c r="N154" i="9"/>
  <c r="N153" i="9"/>
  <c r="N152" i="9"/>
  <c r="N151" i="9"/>
  <c r="N150" i="9"/>
  <c r="N149" i="9"/>
  <c r="N148" i="9"/>
  <c r="N147" i="9"/>
  <c r="N146" i="9"/>
  <c r="N145" i="9"/>
  <c r="N144" i="9"/>
  <c r="N143" i="9"/>
  <c r="N142" i="9"/>
  <c r="N141" i="9"/>
  <c r="N140" i="9"/>
  <c r="N139" i="9"/>
  <c r="N138" i="9"/>
  <c r="N137" i="9"/>
  <c r="N136" i="9"/>
  <c r="N135" i="9"/>
  <c r="N134" i="9"/>
  <c r="N133" i="9"/>
  <c r="N132" i="9"/>
  <c r="N131" i="9"/>
  <c r="N130" i="9"/>
  <c r="N129" i="9"/>
  <c r="N128" i="9"/>
  <c r="N127" i="9"/>
  <c r="N126" i="9"/>
  <c r="N125" i="9"/>
  <c r="N124" i="9"/>
  <c r="N123" i="9"/>
  <c r="N122" i="9"/>
  <c r="N121" i="9"/>
  <c r="N120" i="9"/>
  <c r="N119" i="9"/>
  <c r="N118" i="9"/>
  <c r="N117" i="9"/>
  <c r="N116" i="9"/>
  <c r="N115" i="9"/>
  <c r="N114" i="9"/>
  <c r="N113" i="9"/>
  <c r="N112" i="9"/>
  <c r="N111" i="9"/>
  <c r="N110" i="9"/>
  <c r="N109" i="9"/>
  <c r="N108" i="9"/>
  <c r="N107" i="9"/>
  <c r="N106" i="9"/>
  <c r="N105" i="9"/>
  <c r="N104" i="9"/>
  <c r="N103" i="9"/>
  <c r="N102" i="9"/>
  <c r="N101" i="9"/>
  <c r="N100" i="9"/>
  <c r="N99" i="9"/>
  <c r="N98" i="9"/>
  <c r="N97" i="9"/>
  <c r="N96" i="9"/>
  <c r="N95" i="9"/>
  <c r="N94" i="9"/>
  <c r="N93" i="9"/>
  <c r="N92" i="9"/>
  <c r="N91" i="9"/>
  <c r="N90" i="9"/>
  <c r="N89" i="9"/>
  <c r="N88" i="9"/>
  <c r="N87" i="9"/>
  <c r="N86" i="9"/>
  <c r="N85" i="9"/>
  <c r="N84" i="9"/>
  <c r="N83" i="9"/>
  <c r="N82" i="9"/>
  <c r="N81" i="9"/>
  <c r="N80" i="9"/>
  <c r="N79" i="9"/>
  <c r="N78" i="9"/>
  <c r="N77" i="9"/>
  <c r="N76" i="9"/>
  <c r="N75" i="9"/>
  <c r="N74" i="9"/>
  <c r="N73" i="9"/>
  <c r="N72" i="9"/>
  <c r="N71" i="9"/>
  <c r="N70" i="9"/>
  <c r="N69" i="9"/>
  <c r="N68" i="9"/>
  <c r="N67" i="9"/>
  <c r="N66" i="9"/>
  <c r="N65" i="9"/>
  <c r="N64" i="9"/>
  <c r="N63" i="9"/>
  <c r="N62" i="9"/>
  <c r="N61" i="9"/>
  <c r="N60" i="9"/>
  <c r="N59" i="9"/>
  <c r="N58" i="9"/>
  <c r="N57" i="9"/>
  <c r="N56" i="9"/>
  <c r="N55" i="9"/>
  <c r="N54" i="9"/>
  <c r="N53" i="9"/>
  <c r="N52" i="9"/>
  <c r="N51" i="9"/>
  <c r="N50" i="9"/>
  <c r="N49" i="9"/>
  <c r="N48" i="9"/>
  <c r="N47" i="9"/>
  <c r="N46" i="9"/>
  <c r="N45" i="9"/>
  <c r="P45" i="9" s="1"/>
  <c r="N44" i="9"/>
  <c r="N43" i="9"/>
  <c r="N42" i="9"/>
  <c r="N41" i="9"/>
  <c r="N40" i="9"/>
  <c r="N39" i="9"/>
  <c r="N38" i="9"/>
  <c r="N37" i="9"/>
  <c r="N36" i="9"/>
  <c r="N35" i="9"/>
  <c r="N34" i="9"/>
  <c r="N33" i="9"/>
  <c r="N32" i="9"/>
  <c r="N31" i="9"/>
  <c r="N30" i="9"/>
  <c r="N29" i="9"/>
  <c r="N28" i="9"/>
  <c r="N27" i="9"/>
  <c r="N26" i="9"/>
  <c r="N25" i="9"/>
  <c r="N24" i="9"/>
  <c r="N23" i="9"/>
  <c r="N22" i="9"/>
  <c r="N21" i="9"/>
  <c r="N20" i="9"/>
  <c r="N19" i="9"/>
  <c r="N18" i="9"/>
  <c r="N17" i="9"/>
  <c r="N16" i="9"/>
  <c r="N15" i="9"/>
  <c r="N14" i="9"/>
  <c r="N13" i="9"/>
  <c r="N12" i="9"/>
  <c r="N11" i="9"/>
  <c r="M214" i="9"/>
  <c r="M213" i="9"/>
  <c r="M212" i="9"/>
  <c r="M211" i="9"/>
  <c r="M210" i="9"/>
  <c r="M209" i="9"/>
  <c r="M208" i="9"/>
  <c r="M207" i="9"/>
  <c r="M206" i="9"/>
  <c r="M205" i="9"/>
  <c r="M204" i="9"/>
  <c r="M203" i="9"/>
  <c r="M202" i="9"/>
  <c r="M201" i="9"/>
  <c r="M200" i="9"/>
  <c r="M199" i="9"/>
  <c r="M198" i="9"/>
  <c r="M197" i="9"/>
  <c r="M196" i="9"/>
  <c r="M195" i="9"/>
  <c r="M194" i="9"/>
  <c r="M193" i="9"/>
  <c r="M192" i="9"/>
  <c r="M191" i="9"/>
  <c r="M190" i="9"/>
  <c r="M189" i="9"/>
  <c r="M188" i="9"/>
  <c r="M187" i="9"/>
  <c r="M186" i="9"/>
  <c r="M185" i="9"/>
  <c r="M184" i="9"/>
  <c r="M183" i="9"/>
  <c r="M182" i="9"/>
  <c r="M181" i="9"/>
  <c r="M180" i="9"/>
  <c r="M179" i="9"/>
  <c r="M178" i="9"/>
  <c r="M177" i="9"/>
  <c r="M176" i="9"/>
  <c r="M175" i="9"/>
  <c r="M174" i="9"/>
  <c r="M173" i="9"/>
  <c r="M172" i="9"/>
  <c r="M171" i="9"/>
  <c r="M170" i="9"/>
  <c r="M169" i="9"/>
  <c r="M168" i="9"/>
  <c r="M167" i="9"/>
  <c r="M166" i="9"/>
  <c r="M165" i="9"/>
  <c r="M164" i="9"/>
  <c r="M163" i="9"/>
  <c r="M162" i="9"/>
  <c r="M161" i="9"/>
  <c r="M160" i="9"/>
  <c r="M159" i="9"/>
  <c r="M158" i="9"/>
  <c r="M157" i="9"/>
  <c r="M156" i="9"/>
  <c r="M155" i="9"/>
  <c r="M154" i="9"/>
  <c r="M153" i="9"/>
  <c r="M152" i="9"/>
  <c r="M151" i="9"/>
  <c r="M150" i="9"/>
  <c r="M149" i="9"/>
  <c r="M148" i="9"/>
  <c r="M147" i="9"/>
  <c r="M146" i="9"/>
  <c r="M145" i="9"/>
  <c r="M144" i="9"/>
  <c r="M143" i="9"/>
  <c r="M142" i="9"/>
  <c r="M141" i="9"/>
  <c r="M140" i="9"/>
  <c r="M139" i="9"/>
  <c r="M138" i="9"/>
  <c r="M137" i="9"/>
  <c r="M136" i="9"/>
  <c r="M135" i="9"/>
  <c r="M134" i="9"/>
  <c r="M133" i="9"/>
  <c r="M132" i="9"/>
  <c r="M131" i="9"/>
  <c r="M130" i="9"/>
  <c r="M129" i="9"/>
  <c r="M128" i="9"/>
  <c r="M127" i="9"/>
  <c r="M126" i="9"/>
  <c r="M125" i="9"/>
  <c r="M124" i="9"/>
  <c r="M123" i="9"/>
  <c r="M122" i="9"/>
  <c r="M121" i="9"/>
  <c r="M120" i="9"/>
  <c r="M119" i="9"/>
  <c r="M118" i="9"/>
  <c r="M117" i="9"/>
  <c r="M116" i="9"/>
  <c r="M115" i="9"/>
  <c r="M114" i="9"/>
  <c r="M113" i="9"/>
  <c r="M112" i="9"/>
  <c r="M111" i="9"/>
  <c r="M110" i="9"/>
  <c r="M109" i="9"/>
  <c r="M108" i="9"/>
  <c r="M107" i="9"/>
  <c r="M106" i="9"/>
  <c r="M105" i="9"/>
  <c r="M104" i="9"/>
  <c r="M103" i="9"/>
  <c r="M102" i="9"/>
  <c r="M101" i="9"/>
  <c r="M100" i="9"/>
  <c r="M99" i="9"/>
  <c r="M98" i="9"/>
  <c r="M97" i="9"/>
  <c r="M96" i="9"/>
  <c r="M95" i="9"/>
  <c r="M94" i="9"/>
  <c r="M93" i="9"/>
  <c r="M92" i="9"/>
  <c r="M91" i="9"/>
  <c r="M90" i="9"/>
  <c r="M89" i="9"/>
  <c r="M88" i="9"/>
  <c r="M87" i="9"/>
  <c r="M86" i="9"/>
  <c r="M85" i="9"/>
  <c r="M84" i="9"/>
  <c r="M83" i="9"/>
  <c r="M82" i="9"/>
  <c r="M81" i="9"/>
  <c r="M80" i="9"/>
  <c r="M79" i="9"/>
  <c r="M78" i="9"/>
  <c r="M77" i="9"/>
  <c r="M76" i="9"/>
  <c r="M75" i="9"/>
  <c r="M74" i="9"/>
  <c r="M73" i="9"/>
  <c r="M72" i="9"/>
  <c r="M71" i="9"/>
  <c r="M70" i="9"/>
  <c r="M69" i="9"/>
  <c r="M68" i="9"/>
  <c r="M67" i="9"/>
  <c r="M66" i="9"/>
  <c r="M65" i="9"/>
  <c r="M64" i="9"/>
  <c r="M63" i="9"/>
  <c r="M62" i="9"/>
  <c r="M61" i="9"/>
  <c r="M60" i="9"/>
  <c r="M59" i="9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30" i="9"/>
  <c r="M29" i="9"/>
  <c r="M28" i="9"/>
  <c r="M27" i="9"/>
  <c r="M26" i="9"/>
  <c r="M25" i="9"/>
  <c r="M24" i="9"/>
  <c r="M23" i="9"/>
  <c r="M22" i="9"/>
  <c r="M21" i="9"/>
  <c r="M20" i="9"/>
  <c r="M19" i="9"/>
  <c r="M18" i="9"/>
  <c r="M17" i="9"/>
  <c r="M16" i="9"/>
  <c r="M15" i="9"/>
  <c r="M14" i="9"/>
  <c r="M13" i="9"/>
  <c r="M12" i="9"/>
  <c r="M11" i="9"/>
  <c r="M10" i="9"/>
  <c r="N8" i="9"/>
  <c r="N10" i="9"/>
  <c r="C75" i="14"/>
  <c r="C99" i="24"/>
  <c r="E316" i="24" l="1"/>
  <c r="D316" i="24"/>
  <c r="C319" i="24"/>
  <c r="C316" i="24" s="1"/>
  <c r="C317" i="24"/>
  <c r="C315" i="24"/>
  <c r="C314" i="24"/>
  <c r="C313" i="24" l="1"/>
  <c r="E71" i="14"/>
  <c r="F96" i="14"/>
  <c r="E96" i="14"/>
  <c r="D96" i="14"/>
  <c r="C96" i="14"/>
  <c r="F95" i="14"/>
  <c r="E95" i="14"/>
  <c r="D95" i="14"/>
  <c r="C95" i="14"/>
  <c r="F94" i="14"/>
  <c r="E94" i="14"/>
  <c r="D94" i="14"/>
  <c r="E87" i="14"/>
  <c r="E85" i="14"/>
  <c r="F85" i="14"/>
  <c r="D85" i="14"/>
  <c r="C85" i="1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10" i="24"/>
  <c r="F10" i="24"/>
  <c r="G9" i="24"/>
  <c r="F9" i="24"/>
  <c r="G7" i="24"/>
  <c r="F7" i="24"/>
  <c r="C71" i="14"/>
  <c r="F66" i="14"/>
  <c r="E66" i="14"/>
  <c r="D66" i="14"/>
  <c r="C66" i="14"/>
  <c r="F49" i="14" l="1"/>
  <c r="E49" i="14"/>
  <c r="D49" i="14"/>
  <c r="F48" i="14"/>
  <c r="E48" i="14"/>
  <c r="D48" i="14"/>
  <c r="F47" i="14"/>
  <c r="E47" i="14"/>
  <c r="D47" i="14"/>
  <c r="F46" i="14"/>
  <c r="E46" i="14"/>
  <c r="D46" i="14"/>
  <c r="F45" i="14"/>
  <c r="E45" i="14"/>
  <c r="D45" i="14"/>
  <c r="C50" i="14"/>
  <c r="C49" i="14"/>
  <c r="C48" i="14"/>
  <c r="C47" i="14"/>
  <c r="C46" i="14"/>
  <c r="C45" i="14"/>
  <c r="F40" i="14"/>
  <c r="E40" i="14"/>
  <c r="D40" i="14"/>
  <c r="C40" i="14"/>
  <c r="D30" i="14"/>
  <c r="D29" i="14"/>
  <c r="D28" i="14"/>
  <c r="D27" i="14"/>
  <c r="F30" i="14"/>
  <c r="F28" i="14"/>
  <c r="F27" i="14"/>
  <c r="E30" i="14"/>
  <c r="E28" i="14"/>
  <c r="E27" i="14"/>
  <c r="D21" i="14"/>
  <c r="D20" i="14"/>
  <c r="D19" i="14"/>
  <c r="D18" i="14"/>
  <c r="D17" i="14"/>
  <c r="F21" i="14"/>
  <c r="F20" i="14"/>
  <c r="F19" i="14"/>
  <c r="F18" i="14"/>
  <c r="F17" i="14"/>
  <c r="E21" i="14"/>
  <c r="E20" i="14"/>
  <c r="E19" i="14"/>
  <c r="E18" i="14"/>
  <c r="E17" i="14"/>
  <c r="D14" i="14"/>
  <c r="D13" i="14"/>
  <c r="D12" i="14"/>
  <c r="D11" i="14"/>
  <c r="D10" i="14"/>
  <c r="F14" i="14"/>
  <c r="F13" i="14"/>
  <c r="F12" i="14"/>
  <c r="F11" i="14"/>
  <c r="F10" i="14"/>
  <c r="E14" i="14"/>
  <c r="E13" i="14"/>
  <c r="E12" i="14"/>
  <c r="E11" i="14"/>
  <c r="E10" i="14"/>
  <c r="C30" i="14"/>
  <c r="C28" i="14"/>
  <c r="C27" i="14"/>
  <c r="C21" i="14"/>
  <c r="C20" i="14"/>
  <c r="C19" i="14"/>
  <c r="C18" i="14"/>
  <c r="C17" i="14"/>
  <c r="C14" i="14"/>
  <c r="C13" i="14"/>
  <c r="C12" i="14"/>
  <c r="C11" i="14"/>
  <c r="C10" i="14"/>
  <c r="D34" i="14"/>
  <c r="F34" i="14"/>
  <c r="E34" i="14"/>
  <c r="C34" i="14"/>
  <c r="D32" i="14"/>
  <c r="F32" i="14"/>
  <c r="E32" i="14"/>
  <c r="C32" i="14"/>
  <c r="D24" i="14"/>
  <c r="F24" i="14"/>
  <c r="E24" i="14"/>
  <c r="C24" i="14"/>
  <c r="D8" i="14"/>
  <c r="F8" i="14"/>
  <c r="E8" i="14"/>
  <c r="C8" i="14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F91" i="22"/>
  <c r="E91" i="22"/>
  <c r="F90" i="22"/>
  <c r="E90" i="22"/>
  <c r="F89" i="22"/>
  <c r="E89" i="22"/>
  <c r="F88" i="22"/>
  <c r="E88" i="22"/>
  <c r="F87" i="22"/>
  <c r="E87" i="22"/>
  <c r="F86" i="22"/>
  <c r="E86" i="22"/>
  <c r="F85" i="22"/>
  <c r="E85" i="22"/>
  <c r="F84" i="22"/>
  <c r="E84" i="22"/>
  <c r="D83" i="22"/>
  <c r="D91" i="22"/>
  <c r="D90" i="22"/>
  <c r="D89" i="22"/>
  <c r="D88" i="22"/>
  <c r="D87" i="22"/>
  <c r="D86" i="22"/>
  <c r="D85" i="22"/>
  <c r="D84" i="22"/>
  <c r="F81" i="22"/>
  <c r="E81" i="22"/>
  <c r="F80" i="22"/>
  <c r="E80" i="22"/>
  <c r="F79" i="22"/>
  <c r="E79" i="22"/>
  <c r="F78" i="22"/>
  <c r="E78" i="22"/>
  <c r="F77" i="22"/>
  <c r="E77" i="22"/>
  <c r="F76" i="22"/>
  <c r="E76" i="22"/>
  <c r="F75" i="22"/>
  <c r="E75" i="22"/>
  <c r="F74" i="22"/>
  <c r="E74" i="22"/>
  <c r="F73" i="22"/>
  <c r="E73" i="22"/>
  <c r="F72" i="22"/>
  <c r="E72" i="22"/>
  <c r="F71" i="22"/>
  <c r="E71" i="22"/>
  <c r="F70" i="22"/>
  <c r="E70" i="22"/>
  <c r="F69" i="22"/>
  <c r="E69" i="22"/>
  <c r="F68" i="22"/>
  <c r="E68" i="22"/>
  <c r="F67" i="22"/>
  <c r="E67" i="22"/>
  <c r="F66" i="22"/>
  <c r="E66" i="22"/>
  <c r="F65" i="22"/>
  <c r="E65" i="22"/>
  <c r="F64" i="22"/>
  <c r="E64" i="22"/>
  <c r="F63" i="22"/>
  <c r="E63" i="22"/>
  <c r="D81" i="22"/>
  <c r="D80" i="22"/>
  <c r="D79" i="22"/>
  <c r="D78" i="22"/>
  <c r="D77" i="22"/>
  <c r="D76" i="22"/>
  <c r="D75" i="22"/>
  <c r="D74" i="22"/>
  <c r="D73" i="22"/>
  <c r="D72" i="22"/>
  <c r="D71" i="22"/>
  <c r="D70" i="22"/>
  <c r="D69" i="22"/>
  <c r="D68" i="22"/>
  <c r="D67" i="22"/>
  <c r="D66" i="22"/>
  <c r="D65" i="22"/>
  <c r="D64" i="22"/>
  <c r="D63" i="22"/>
  <c r="F47" i="22" l="1"/>
  <c r="E47" i="22"/>
  <c r="D47" i="22"/>
  <c r="D30" i="22"/>
  <c r="F58" i="22"/>
  <c r="E58" i="22"/>
  <c r="F57" i="22"/>
  <c r="E57" i="22"/>
  <c r="F56" i="22"/>
  <c r="E56" i="22"/>
  <c r="F55" i="22"/>
  <c r="E55" i="22"/>
  <c r="F54" i="22"/>
  <c r="E54" i="22"/>
  <c r="F53" i="22"/>
  <c r="E53" i="22"/>
  <c r="F52" i="22"/>
  <c r="E52" i="22"/>
  <c r="F51" i="22"/>
  <c r="E51" i="22"/>
  <c r="F50" i="22"/>
  <c r="E50" i="22"/>
  <c r="F49" i="22"/>
  <c r="E49" i="22"/>
  <c r="F48" i="22"/>
  <c r="E48" i="22"/>
  <c r="F46" i="22"/>
  <c r="E46" i="22"/>
  <c r="F45" i="22"/>
  <c r="E45" i="22"/>
  <c r="F44" i="22"/>
  <c r="E44" i="22"/>
  <c r="F43" i="22"/>
  <c r="E43" i="22"/>
  <c r="F42" i="22"/>
  <c r="E42" i="22"/>
  <c r="F41" i="22"/>
  <c r="E41" i="22"/>
  <c r="F40" i="22"/>
  <c r="E40" i="22"/>
  <c r="F39" i="22"/>
  <c r="E39" i="22"/>
  <c r="F38" i="22"/>
  <c r="E38" i="22"/>
  <c r="F37" i="22"/>
  <c r="E37" i="22"/>
  <c r="F36" i="22"/>
  <c r="E36" i="22"/>
  <c r="F35" i="22"/>
  <c r="E35" i="22"/>
  <c r="F34" i="22"/>
  <c r="E34" i="22"/>
  <c r="F33" i="22"/>
  <c r="E33" i="22"/>
  <c r="F32" i="22"/>
  <c r="E32" i="22"/>
  <c r="F31" i="22"/>
  <c r="E31" i="22"/>
  <c r="D42" i="22"/>
  <c r="D58" i="22"/>
  <c r="D57" i="22"/>
  <c r="D56" i="22"/>
  <c r="D55" i="22"/>
  <c r="D54" i="22"/>
  <c r="D53" i="22"/>
  <c r="D52" i="22"/>
  <c r="D51" i="22"/>
  <c r="D50" i="22"/>
  <c r="D49" i="22"/>
  <c r="D48" i="22"/>
  <c r="D46" i="22"/>
  <c r="D45" i="22"/>
  <c r="D44" i="22"/>
  <c r="D43" i="22"/>
  <c r="D41" i="22"/>
  <c r="D40" i="22"/>
  <c r="D39" i="22"/>
  <c r="D38" i="22"/>
  <c r="D37" i="22"/>
  <c r="D36" i="22"/>
  <c r="D35" i="22"/>
  <c r="D34" i="22"/>
  <c r="D33" i="22"/>
  <c r="D32" i="22"/>
  <c r="D31" i="22"/>
  <c r="F29" i="22"/>
  <c r="E29" i="22"/>
  <c r="D29" i="22"/>
  <c r="F28" i="22"/>
  <c r="E28" i="22"/>
  <c r="F27" i="22"/>
  <c r="E27" i="22"/>
  <c r="F26" i="22"/>
  <c r="E26" i="22"/>
  <c r="F25" i="22"/>
  <c r="E25" i="22"/>
  <c r="F24" i="22"/>
  <c r="E24" i="22"/>
  <c r="D23" i="22"/>
  <c r="D28" i="22" l="1"/>
  <c r="D27" i="22"/>
  <c r="D26" i="22"/>
  <c r="D25" i="22"/>
  <c r="D24" i="22"/>
  <c r="D61" i="22"/>
  <c r="H79" i="22"/>
  <c r="G79" i="22"/>
  <c r="H78" i="22"/>
  <c r="G78" i="22"/>
  <c r="L35" i="26" l="1"/>
  <c r="M35" i="26"/>
  <c r="M34" i="26"/>
  <c r="L34" i="26"/>
  <c r="M33" i="26"/>
  <c r="L33" i="26"/>
  <c r="M32" i="26"/>
  <c r="L32" i="26"/>
  <c r="M31" i="26"/>
  <c r="L31" i="26"/>
  <c r="M30" i="26"/>
  <c r="L30" i="26"/>
  <c r="K35" i="26"/>
  <c r="K34" i="26"/>
  <c r="K33" i="26"/>
  <c r="K32" i="26"/>
  <c r="K31" i="26"/>
  <c r="K30" i="26"/>
  <c r="M7" i="26"/>
  <c r="L7" i="26"/>
  <c r="K7" i="26"/>
  <c r="M28" i="26"/>
  <c r="L28" i="26"/>
  <c r="M26" i="26"/>
  <c r="L26" i="26"/>
  <c r="M25" i="26"/>
  <c r="L25" i="26"/>
  <c r="M23" i="26"/>
  <c r="L23" i="26"/>
  <c r="K28" i="26"/>
  <c r="K26" i="26"/>
  <c r="K25" i="26"/>
  <c r="K23" i="26"/>
  <c r="M21" i="26" l="1"/>
  <c r="L21" i="26"/>
  <c r="M20" i="26"/>
  <c r="L20" i="26"/>
  <c r="M19" i="26"/>
  <c r="L19" i="26"/>
  <c r="M18" i="26"/>
  <c r="L18" i="26"/>
  <c r="M17" i="26"/>
  <c r="L17" i="26"/>
  <c r="M16" i="26"/>
  <c r="L16" i="26"/>
  <c r="K21" i="26"/>
  <c r="K20" i="26"/>
  <c r="K19" i="26"/>
  <c r="K18" i="26"/>
  <c r="K17" i="26"/>
  <c r="K16" i="26"/>
  <c r="M14" i="26"/>
  <c r="L14" i="26"/>
  <c r="M13" i="26"/>
  <c r="L13" i="26"/>
  <c r="M12" i="26"/>
  <c r="L12" i="26"/>
  <c r="M11" i="26"/>
  <c r="L11" i="26"/>
  <c r="M10" i="26"/>
  <c r="L10" i="26"/>
  <c r="M9" i="26"/>
  <c r="L9" i="26"/>
  <c r="K14" i="26"/>
  <c r="K13" i="26"/>
  <c r="K12" i="26"/>
  <c r="K11" i="26"/>
  <c r="K10" i="26"/>
  <c r="K9" i="26"/>
  <c r="F6" i="26"/>
  <c r="E6" i="26"/>
  <c r="D6" i="26"/>
  <c r="H249" i="26"/>
  <c r="G249" i="26"/>
  <c r="H248" i="26"/>
  <c r="G248" i="26"/>
  <c r="H247" i="26"/>
  <c r="G247" i="26"/>
  <c r="H246" i="26"/>
  <c r="G246" i="26"/>
  <c r="H245" i="26"/>
  <c r="G245" i="26"/>
  <c r="H244" i="26"/>
  <c r="G244" i="26"/>
  <c r="H242" i="26"/>
  <c r="G242" i="26"/>
  <c r="H241" i="26"/>
  <c r="G241" i="26"/>
  <c r="H240" i="26"/>
  <c r="G240" i="26"/>
  <c r="H239" i="26"/>
  <c r="G239" i="26"/>
  <c r="H238" i="26"/>
  <c r="G238" i="26"/>
  <c r="H237" i="26"/>
  <c r="G237" i="26"/>
  <c r="H236" i="26"/>
  <c r="G236" i="26"/>
  <c r="H235" i="26"/>
  <c r="G235" i="26"/>
  <c r="H234" i="26"/>
  <c r="G234" i="26"/>
  <c r="H233" i="26"/>
  <c r="G233" i="26"/>
  <c r="H232" i="26"/>
  <c r="G232" i="26"/>
  <c r="H231" i="26"/>
  <c r="G231" i="26"/>
  <c r="H230" i="26"/>
  <c r="G230" i="26"/>
  <c r="H229" i="26"/>
  <c r="G229" i="26"/>
  <c r="H228" i="26"/>
  <c r="G228" i="26"/>
  <c r="H227" i="26"/>
  <c r="G227" i="26"/>
  <c r="H226" i="26"/>
  <c r="G226" i="26"/>
  <c r="H225" i="26"/>
  <c r="G225" i="26"/>
  <c r="H224" i="26"/>
  <c r="G224" i="26"/>
  <c r="H223" i="26"/>
  <c r="G223" i="26"/>
  <c r="H222" i="26"/>
  <c r="G222" i="26"/>
  <c r="H221" i="26"/>
  <c r="G221" i="26"/>
  <c r="H220" i="26"/>
  <c r="G220" i="26"/>
  <c r="H219" i="26"/>
  <c r="G219" i="26"/>
  <c r="H218" i="26"/>
  <c r="G218" i="26"/>
  <c r="H217" i="26"/>
  <c r="G217" i="26"/>
  <c r="H216" i="26"/>
  <c r="G216" i="26"/>
  <c r="H215" i="26"/>
  <c r="G215" i="26"/>
  <c r="H213" i="26"/>
  <c r="G213" i="26"/>
  <c r="H212" i="26"/>
  <c r="G212" i="26"/>
  <c r="H211" i="26"/>
  <c r="G211" i="26"/>
  <c r="H210" i="26"/>
  <c r="G210" i="26"/>
  <c r="H209" i="26"/>
  <c r="G209" i="26"/>
  <c r="H208" i="26"/>
  <c r="G208" i="26"/>
  <c r="H207" i="26"/>
  <c r="G207" i="26"/>
  <c r="H206" i="26"/>
  <c r="G206" i="26"/>
  <c r="H205" i="26"/>
  <c r="G205" i="26"/>
  <c r="H204" i="26"/>
  <c r="G204" i="26"/>
  <c r="H203" i="26"/>
  <c r="G203" i="26"/>
  <c r="H202" i="26"/>
  <c r="G202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2" i="26"/>
  <c r="G192" i="26"/>
  <c r="H191" i="26"/>
  <c r="G191" i="26"/>
  <c r="H190" i="26"/>
  <c r="G190" i="26"/>
  <c r="H189" i="26"/>
  <c r="G189" i="26"/>
  <c r="H187" i="26"/>
  <c r="G187" i="26"/>
  <c r="H186" i="26"/>
  <c r="G186" i="26"/>
  <c r="H185" i="26"/>
  <c r="G185" i="26"/>
  <c r="H184" i="26"/>
  <c r="G184" i="26"/>
  <c r="H183" i="26"/>
  <c r="G183" i="26"/>
  <c r="H182" i="26"/>
  <c r="G182" i="26"/>
  <c r="H181" i="26"/>
  <c r="G181" i="26"/>
  <c r="H180" i="26"/>
  <c r="G180" i="26"/>
  <c r="H179" i="26"/>
  <c r="G179" i="26"/>
  <c r="H178" i="26"/>
  <c r="G178" i="26"/>
  <c r="H177" i="26"/>
  <c r="G177" i="26"/>
  <c r="H176" i="26"/>
  <c r="G176" i="26"/>
  <c r="H175" i="26"/>
  <c r="G175" i="26"/>
  <c r="H174" i="26"/>
  <c r="G174" i="26"/>
  <c r="H173" i="26"/>
  <c r="G173" i="26"/>
  <c r="H172" i="26"/>
  <c r="G172" i="26"/>
  <c r="H171" i="26"/>
  <c r="G171" i="26"/>
  <c r="H170" i="26"/>
  <c r="G170" i="26"/>
  <c r="H169" i="26"/>
  <c r="G169" i="26"/>
  <c r="H168" i="26"/>
  <c r="G168" i="26"/>
  <c r="H167" i="26"/>
  <c r="G167" i="26"/>
  <c r="H166" i="26"/>
  <c r="G166" i="26"/>
  <c r="H165" i="26"/>
  <c r="G165" i="26"/>
  <c r="H164" i="26"/>
  <c r="G164" i="26"/>
  <c r="H163" i="26"/>
  <c r="G163" i="26"/>
  <c r="H162" i="26"/>
  <c r="G162" i="26"/>
  <c r="H161" i="26"/>
  <c r="G161" i="26"/>
  <c r="H160" i="26"/>
  <c r="G160" i="26"/>
  <c r="H159" i="26"/>
  <c r="G159" i="26"/>
  <c r="H157" i="26"/>
  <c r="G157" i="26"/>
  <c r="H156" i="26"/>
  <c r="G156" i="26"/>
  <c r="H155" i="26"/>
  <c r="G155" i="26"/>
  <c r="H154" i="26"/>
  <c r="G154" i="26"/>
  <c r="H153" i="26"/>
  <c r="G153" i="26"/>
  <c r="H152" i="26"/>
  <c r="G152" i="26"/>
  <c r="H150" i="26"/>
  <c r="G150" i="26"/>
  <c r="H149" i="26"/>
  <c r="G149" i="26"/>
  <c r="H148" i="26"/>
  <c r="G148" i="26"/>
  <c r="H147" i="26"/>
  <c r="G147" i="26"/>
  <c r="H146" i="26"/>
  <c r="G146" i="26"/>
  <c r="H144" i="26"/>
  <c r="G144" i="26"/>
  <c r="H143" i="26"/>
  <c r="G143" i="26"/>
  <c r="H142" i="26"/>
  <c r="G142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4" i="26"/>
  <c r="G134" i="26"/>
  <c r="H133" i="26"/>
  <c r="G133" i="26"/>
  <c r="H132" i="26"/>
  <c r="G132" i="26"/>
  <c r="H131" i="26"/>
  <c r="G131" i="26"/>
  <c r="H130" i="26"/>
  <c r="G130" i="26"/>
  <c r="H129" i="26"/>
  <c r="G129" i="26"/>
  <c r="H128" i="26"/>
  <c r="G128" i="26"/>
  <c r="H127" i="26"/>
  <c r="G127" i="26"/>
  <c r="H125" i="26"/>
  <c r="G125" i="26"/>
  <c r="H124" i="26"/>
  <c r="G124" i="26"/>
  <c r="H123" i="26"/>
  <c r="G123" i="26"/>
  <c r="H122" i="26"/>
  <c r="G122" i="26"/>
  <c r="H121" i="26"/>
  <c r="G121" i="26"/>
  <c r="H120" i="26"/>
  <c r="G120" i="26"/>
  <c r="H119" i="26"/>
  <c r="G119" i="26"/>
  <c r="H118" i="26"/>
  <c r="G118" i="26"/>
  <c r="H117" i="26"/>
  <c r="G117" i="26"/>
  <c r="H116" i="26"/>
  <c r="G116" i="26"/>
  <c r="H115" i="26"/>
  <c r="G115" i="26"/>
  <c r="H114" i="26"/>
  <c r="G114" i="26"/>
  <c r="H113" i="26"/>
  <c r="G113" i="26"/>
  <c r="H112" i="26"/>
  <c r="G112" i="26"/>
  <c r="H111" i="26"/>
  <c r="G111" i="26"/>
  <c r="H110" i="26"/>
  <c r="G110" i="26"/>
  <c r="H109" i="26"/>
  <c r="G109" i="26"/>
  <c r="H108" i="26"/>
  <c r="G108" i="26"/>
  <c r="H107" i="26"/>
  <c r="G107" i="26"/>
  <c r="H106" i="26"/>
  <c r="G106" i="26"/>
  <c r="H105" i="26"/>
  <c r="G105" i="26"/>
  <c r="H104" i="26"/>
  <c r="G104" i="26"/>
  <c r="H103" i="26"/>
  <c r="G103" i="26"/>
  <c r="H102" i="26"/>
  <c r="G102" i="26"/>
  <c r="H101" i="26"/>
  <c r="G101" i="26"/>
  <c r="H99" i="26"/>
  <c r="G99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7" i="26"/>
  <c r="G87" i="26"/>
  <c r="H86" i="26"/>
  <c r="G86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8" i="26"/>
  <c r="G68" i="26"/>
  <c r="H67" i="26"/>
  <c r="G67" i="26"/>
  <c r="H66" i="26"/>
  <c r="G66" i="26"/>
  <c r="H65" i="26"/>
  <c r="G65" i="26"/>
  <c r="H64" i="26"/>
  <c r="G64" i="26"/>
  <c r="H63" i="26"/>
  <c r="G63" i="26"/>
  <c r="H62" i="26"/>
  <c r="G62" i="26"/>
  <c r="H61" i="26"/>
  <c r="G61" i="26"/>
  <c r="H60" i="26"/>
  <c r="G60" i="26"/>
  <c r="H59" i="26"/>
  <c r="G59" i="26"/>
  <c r="H58" i="26"/>
  <c r="G58" i="26"/>
  <c r="H57" i="26"/>
  <c r="G57" i="26"/>
  <c r="H56" i="26"/>
  <c r="G56" i="26"/>
  <c r="H55" i="26"/>
  <c r="G55" i="26"/>
  <c r="H54" i="26"/>
  <c r="G54" i="26"/>
  <c r="H52" i="26"/>
  <c r="G52" i="26"/>
  <c r="H51" i="26"/>
  <c r="G51" i="26"/>
  <c r="H50" i="26"/>
  <c r="G50" i="26"/>
  <c r="H49" i="26"/>
  <c r="G49" i="26"/>
  <c r="H48" i="26"/>
  <c r="G48" i="26"/>
  <c r="H47" i="26"/>
  <c r="G47" i="26"/>
  <c r="H46" i="26"/>
  <c r="G46" i="26"/>
  <c r="H45" i="26"/>
  <c r="G45" i="26"/>
  <c r="H44" i="26"/>
  <c r="G44" i="26"/>
  <c r="H43" i="26"/>
  <c r="G43" i="26"/>
  <c r="H42" i="26"/>
  <c r="G42" i="26"/>
  <c r="H41" i="26"/>
  <c r="G41" i="26"/>
  <c r="H40" i="26"/>
  <c r="G40" i="26"/>
  <c r="H39" i="26"/>
  <c r="G39" i="26"/>
  <c r="H38" i="26"/>
  <c r="G38" i="26"/>
  <c r="H37" i="26"/>
  <c r="G37" i="26"/>
  <c r="H36" i="26"/>
  <c r="G36" i="26"/>
  <c r="H35" i="26"/>
  <c r="G35" i="26"/>
  <c r="H34" i="26"/>
  <c r="G34" i="26"/>
  <c r="H33" i="26"/>
  <c r="G33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H25" i="26"/>
  <c r="G25" i="26"/>
  <c r="H24" i="26"/>
  <c r="G24" i="26"/>
  <c r="H23" i="26"/>
  <c r="G23" i="26"/>
  <c r="H22" i="26"/>
  <c r="G22" i="26"/>
  <c r="H21" i="26"/>
  <c r="G21" i="26"/>
  <c r="H20" i="26"/>
  <c r="G20" i="26"/>
  <c r="H19" i="26"/>
  <c r="G19" i="26"/>
  <c r="H18" i="26"/>
  <c r="G18" i="26"/>
  <c r="H17" i="26"/>
  <c r="G17" i="26"/>
  <c r="H16" i="26"/>
  <c r="G16" i="26"/>
  <c r="H15" i="26"/>
  <c r="G15" i="26"/>
  <c r="H14" i="26"/>
  <c r="G14" i="26"/>
  <c r="H13" i="26"/>
  <c r="G13" i="26"/>
  <c r="H12" i="26"/>
  <c r="G12" i="26"/>
  <c r="H11" i="26"/>
  <c r="G11" i="26"/>
  <c r="F104" i="26" l="1"/>
  <c r="F60" i="26"/>
  <c r="F196" i="26"/>
  <c r="F56" i="26"/>
  <c r="F246" i="26"/>
  <c r="F199" i="26"/>
  <c r="F219" i="26"/>
  <c r="F161" i="26"/>
  <c r="F103" i="26"/>
  <c r="F162" i="26"/>
  <c r="F59" i="26"/>
  <c r="F131" i="26"/>
  <c r="F129" i="26"/>
  <c r="F84" i="14" l="1"/>
  <c r="F83" i="14"/>
  <c r="F82" i="14"/>
  <c r="D91" i="14" l="1"/>
  <c r="F71" i="14" l="1"/>
  <c r="D55" i="14"/>
  <c r="D16" i="14" l="1"/>
  <c r="F29" i="26" l="1"/>
  <c r="L7" i="9"/>
  <c r="N7" i="9" s="1"/>
  <c r="E6" i="24"/>
  <c r="J69" i="9"/>
  <c r="K69" i="9"/>
  <c r="L69" i="9"/>
  <c r="E69" i="9"/>
  <c r="F69" i="9"/>
  <c r="G69" i="9"/>
  <c r="H69" i="9"/>
  <c r="I69" i="9"/>
  <c r="H9" i="9"/>
  <c r="H215" i="9" s="1"/>
  <c r="I9" i="9"/>
  <c r="J9" i="9"/>
  <c r="K9" i="9"/>
  <c r="L9" i="9"/>
  <c r="G213" i="9"/>
  <c r="L213" i="9"/>
  <c r="G6" i="24" l="1"/>
  <c r="F6" i="24"/>
  <c r="F123" i="26" l="1"/>
  <c r="F28" i="26" l="1"/>
  <c r="F32" i="26"/>
  <c r="F51" i="26"/>
  <c r="F22" i="26"/>
  <c r="F27" i="26"/>
  <c r="F21" i="26"/>
  <c r="F20" i="26"/>
  <c r="F33" i="26"/>
  <c r="F25" i="26"/>
  <c r="F23" i="26"/>
  <c r="F34" i="26"/>
  <c r="F206" i="26" l="1"/>
  <c r="F183" i="26"/>
  <c r="F182" i="26"/>
  <c r="F181" i="26"/>
  <c r="F167" i="26"/>
  <c r="F178" i="26"/>
  <c r="F179" i="26"/>
  <c r="F176" i="26"/>
  <c r="F76" i="26" l="1"/>
  <c r="F83" i="26"/>
  <c r="F171" i="26"/>
  <c r="F168" i="26"/>
  <c r="F172" i="26"/>
  <c r="E261" i="24" l="1"/>
  <c r="E8" i="24"/>
  <c r="F72" i="14" l="1"/>
  <c r="E99" i="24"/>
  <c r="E5" i="24" s="1"/>
  <c r="F73" i="14" l="1"/>
  <c r="F78" i="26"/>
  <c r="F55" i="26"/>
  <c r="F222" i="26" l="1"/>
  <c r="F237" i="26"/>
  <c r="F238" i="26"/>
  <c r="F231" i="26"/>
  <c r="F227" i="26"/>
  <c r="F212" i="26" l="1"/>
  <c r="F205" i="26"/>
  <c r="F204" i="26"/>
  <c r="F184" i="26"/>
  <c r="F180" i="26"/>
  <c r="F177" i="26"/>
  <c r="F173" i="26"/>
  <c r="F170" i="26"/>
  <c r="F169" i="26"/>
  <c r="F166" i="26"/>
  <c r="F122" i="26"/>
  <c r="F120" i="26"/>
  <c r="F119" i="26"/>
  <c r="F118" i="26"/>
  <c r="F115" i="26"/>
  <c r="F114" i="26"/>
  <c r="F113" i="26"/>
  <c r="F112" i="26"/>
  <c r="F111" i="26"/>
  <c r="F110" i="26"/>
  <c r="F109" i="26"/>
  <c r="F108" i="26"/>
  <c r="F107" i="26"/>
  <c r="F106" i="26"/>
  <c r="F80" i="26"/>
  <c r="F79" i="26"/>
  <c r="F66" i="26"/>
  <c r="F65" i="26"/>
  <c r="F44" i="26"/>
  <c r="F42" i="26"/>
  <c r="F31" i="26"/>
  <c r="F26" i="26"/>
  <c r="D99" i="24" l="1"/>
  <c r="C73" i="14"/>
  <c r="E73" i="14" l="1"/>
  <c r="F99" i="24"/>
  <c r="G99" i="24"/>
  <c r="E163" i="26"/>
  <c r="D163" i="26"/>
  <c r="D90" i="14"/>
  <c r="D92" i="14"/>
  <c r="D89" i="14" l="1"/>
  <c r="F105" i="26"/>
  <c r="F175" i="26"/>
  <c r="F160" i="26"/>
  <c r="F163" i="26"/>
  <c r="F159" i="26" l="1"/>
  <c r="G13" i="22" l="1"/>
  <c r="H13" i="22"/>
  <c r="F147" i="26"/>
  <c r="F117" i="26" l="1"/>
  <c r="F95" i="26"/>
  <c r="F10" i="26" l="1"/>
  <c r="F50" i="26"/>
  <c r="F47" i="26" s="1"/>
  <c r="F10" i="22"/>
  <c r="F64" i="26" l="1"/>
  <c r="F85" i="26" l="1"/>
  <c r="F36" i="26" l="1"/>
  <c r="F40" i="26"/>
  <c r="F35" i="26" l="1"/>
  <c r="F19" i="26"/>
  <c r="F9" i="26" s="1"/>
  <c r="C8" i="24"/>
  <c r="C72" i="14" s="1"/>
  <c r="D8" i="24"/>
  <c r="D5" i="24" s="1"/>
  <c r="E72" i="14" l="1"/>
  <c r="G8" i="24"/>
  <c r="F8" i="24"/>
  <c r="F7" i="26"/>
  <c r="E36" i="26" l="1"/>
  <c r="E83" i="22"/>
  <c r="E30" i="22"/>
  <c r="G46" i="22"/>
  <c r="H46" i="22"/>
  <c r="E10" i="22"/>
  <c r="G9" i="9" l="1"/>
  <c r="D62" i="22" l="1"/>
  <c r="D10" i="22"/>
  <c r="D216" i="26"/>
  <c r="D55" i="26"/>
  <c r="D40" i="26"/>
  <c r="D36" i="26"/>
  <c r="C5" i="24"/>
  <c r="C76" i="14" l="1"/>
  <c r="E9" i="9"/>
  <c r="D19" i="22" l="1"/>
  <c r="F81" i="14" l="1"/>
  <c r="D81" i="14" l="1"/>
  <c r="D93" i="14" s="1"/>
  <c r="C81" i="14"/>
  <c r="D147" i="26" l="1"/>
  <c r="E147" i="26"/>
  <c r="D102" i="26"/>
  <c r="E102" i="26"/>
  <c r="D105" i="26"/>
  <c r="D101" i="26" s="1"/>
  <c r="E105" i="26"/>
  <c r="D117" i="26"/>
  <c r="D116" i="26" s="1"/>
  <c r="E117" i="26"/>
  <c r="E116" i="26" s="1"/>
  <c r="F116" i="26"/>
  <c r="F102" i="26"/>
  <c r="D99" i="26" l="1"/>
  <c r="F101" i="26"/>
  <c r="F99" i="26" s="1"/>
  <c r="E101" i="26"/>
  <c r="E99" i="26" s="1"/>
  <c r="F202" i="26" l="1"/>
  <c r="F195" i="26"/>
  <c r="F153" i="26"/>
  <c r="F139" i="26"/>
  <c r="F132" i="26"/>
  <c r="F128" i="26"/>
  <c r="F221" i="26"/>
  <c r="F127" i="26" l="1"/>
  <c r="F211" i="26"/>
  <c r="F210" i="26" s="1"/>
  <c r="D202" i="26"/>
  <c r="E202" i="26"/>
  <c r="F84" i="26" l="1"/>
  <c r="F240" i="26"/>
  <c r="F9" i="9" l="1"/>
  <c r="N9" i="9" s="1"/>
  <c r="N215" i="9" s="1"/>
  <c r="P215" i="9" l="1"/>
  <c r="O215" i="9"/>
  <c r="E132" i="26"/>
  <c r="D132" i="26"/>
  <c r="D95" i="26"/>
  <c r="E95" i="26"/>
  <c r="G48" i="22"/>
  <c r="H48" i="22"/>
  <c r="D94" i="26" l="1"/>
  <c r="E9" i="14" l="1"/>
  <c r="H25" i="22" l="1"/>
  <c r="H26" i="22"/>
  <c r="H27" i="22"/>
  <c r="H29" i="22"/>
  <c r="G29" i="22"/>
  <c r="H28" i="22"/>
  <c r="G28" i="22"/>
  <c r="G27" i="22"/>
  <c r="G26" i="22"/>
  <c r="G25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7" i="22"/>
  <c r="G47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81" i="22"/>
  <c r="G81" i="22"/>
  <c r="H80" i="22"/>
  <c r="G80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E128" i="26"/>
  <c r="D230" i="26"/>
  <c r="D229" i="26" s="1"/>
  <c r="D221" i="26"/>
  <c r="D195" i="26"/>
  <c r="D194" i="26" s="1"/>
  <c r="D153" i="26"/>
  <c r="D139" i="26"/>
  <c r="D128" i="26"/>
  <c r="D85" i="26"/>
  <c r="E64" i="26"/>
  <c r="D64" i="26"/>
  <c r="D35" i="26"/>
  <c r="D19" i="26"/>
  <c r="E10" i="26"/>
  <c r="D10" i="26"/>
  <c r="D84" i="26" l="1"/>
  <c r="D9" i="26"/>
  <c r="F86" i="14" l="1"/>
  <c r="F19" i="22" l="1"/>
  <c r="F30" i="22"/>
  <c r="F190" i="26" l="1"/>
  <c r="F189" i="26" l="1"/>
  <c r="F187" i="26" l="1"/>
  <c r="E91" i="14"/>
  <c r="E92" i="14"/>
  <c r="E90" i="14"/>
  <c r="E89" i="14" l="1"/>
  <c r="F54" i="26" l="1"/>
  <c r="F87" i="14" l="1"/>
  <c r="F88" i="14"/>
  <c r="C91" i="14"/>
  <c r="C92" i="14"/>
  <c r="C90" i="14"/>
  <c r="C89" i="14" l="1"/>
  <c r="C93" i="14" s="1"/>
  <c r="C94" i="14"/>
  <c r="E175" i="26" l="1"/>
  <c r="E19" i="26"/>
  <c r="D240" i="26" l="1"/>
  <c r="D239" i="26" s="1"/>
  <c r="D54" i="26" l="1"/>
  <c r="D52" i="26" l="1"/>
  <c r="F23" i="22"/>
  <c r="E23" i="22"/>
  <c r="F230" i="26" l="1"/>
  <c r="F216" i="26"/>
  <c r="D215" i="26"/>
  <c r="D192" i="26"/>
  <c r="E85" i="26"/>
  <c r="E84" i="26" s="1"/>
  <c r="E55" i="26"/>
  <c r="F229" i="26" l="1"/>
  <c r="F215" i="26"/>
  <c r="D59" i="14" l="1"/>
  <c r="F83" i="22" l="1"/>
  <c r="F62" i="22"/>
  <c r="F90" i="14" l="1"/>
  <c r="H213" i="9" l="1"/>
  <c r="I213" i="9"/>
  <c r="J213" i="9"/>
  <c r="K213" i="9"/>
  <c r="F76" i="14" l="1"/>
  <c r="E76" i="14"/>
  <c r="E139" i="26" l="1"/>
  <c r="E138" i="26" s="1"/>
  <c r="E127" i="26" l="1"/>
  <c r="H75" i="14" l="1"/>
  <c r="G75" i="14"/>
  <c r="H74" i="14"/>
  <c r="G74" i="14"/>
  <c r="E60" i="22" l="1"/>
  <c r="E7" i="22" l="1"/>
  <c r="D7" i="22"/>
  <c r="F53" i="14" l="1"/>
  <c r="H76" i="14" l="1"/>
  <c r="G76" i="14"/>
  <c r="E144" i="26" l="1"/>
  <c r="E40" i="26" l="1"/>
  <c r="E35" i="26" s="1"/>
  <c r="E9" i="26" l="1"/>
  <c r="E54" i="26"/>
  <c r="E62" i="22" l="1"/>
  <c r="D190" i="26" l="1"/>
  <c r="D189" i="26" s="1"/>
  <c r="D187" i="26" s="1"/>
  <c r="E50" i="26"/>
  <c r="D50" i="26"/>
  <c r="D47" i="26" l="1"/>
  <c r="F60" i="14" l="1"/>
  <c r="F67" i="14" l="1"/>
  <c r="F60" i="22" l="1"/>
  <c r="F94" i="26" l="1"/>
  <c r="F52" i="26" l="1"/>
  <c r="C22" i="14" l="1"/>
  <c r="G67" i="14" l="1"/>
  <c r="G65" i="14"/>
  <c r="G63" i="14"/>
  <c r="G62" i="14"/>
  <c r="G61" i="14"/>
  <c r="G60" i="14"/>
  <c r="G58" i="14"/>
  <c r="G56" i="14"/>
  <c r="G54" i="14"/>
  <c r="G53" i="14"/>
  <c r="H77" i="14"/>
  <c r="G77" i="14"/>
  <c r="H20" i="22" l="1"/>
  <c r="G20" i="22"/>
  <c r="H18" i="22"/>
  <c r="G18" i="22"/>
  <c r="H15" i="22"/>
  <c r="G15" i="22"/>
  <c r="H14" i="22"/>
  <c r="G14" i="22"/>
  <c r="H12" i="22"/>
  <c r="G12" i="22"/>
  <c r="H11" i="22"/>
  <c r="G11" i="22"/>
  <c r="H9" i="22"/>
  <c r="G9" i="22"/>
  <c r="F41" i="14" l="1"/>
  <c r="H16" i="22" l="1"/>
  <c r="G16" i="22"/>
  <c r="F215" i="9" l="1"/>
  <c r="E215" i="9"/>
  <c r="H72" i="14" l="1"/>
  <c r="G72" i="14"/>
  <c r="G73" i="14"/>
  <c r="H73" i="14"/>
  <c r="F92" i="14" l="1"/>
  <c r="F91" i="14"/>
  <c r="F38" i="14"/>
  <c r="F89" i="14" l="1"/>
  <c r="F93" i="14" s="1"/>
  <c r="F239" i="26"/>
  <c r="F213" i="26" s="1"/>
  <c r="F194" i="26"/>
  <c r="F192" i="26" s="1"/>
  <c r="F248" i="26"/>
  <c r="F247" i="26" l="1"/>
  <c r="E192" i="26" l="1"/>
  <c r="D248" i="26"/>
  <c r="E248" i="26" l="1"/>
  <c r="E247" i="26" l="1"/>
  <c r="E47" i="26" l="1"/>
  <c r="E7" i="26" l="1"/>
  <c r="E94" i="26" l="1"/>
  <c r="E52" i="26" l="1"/>
  <c r="D60" i="22" l="1"/>
  <c r="D146" i="26" l="1"/>
  <c r="D144" i="26" s="1"/>
  <c r="H84" i="22" l="1"/>
  <c r="G84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5" i="22"/>
  <c r="G65" i="22"/>
  <c r="H64" i="22"/>
  <c r="G64" i="22"/>
  <c r="H63" i="22"/>
  <c r="G63" i="22"/>
  <c r="H31" i="22"/>
  <c r="G31" i="22"/>
  <c r="H24" i="22"/>
  <c r="G24" i="22"/>
  <c r="H8" i="22" l="1"/>
  <c r="G8" i="22"/>
  <c r="F146" i="26" l="1"/>
  <c r="F144" i="26" s="1"/>
  <c r="D247" i="26" l="1"/>
  <c r="G66" i="14" l="1"/>
  <c r="F59" i="14"/>
  <c r="C57" i="14"/>
  <c r="F55" i="14"/>
  <c r="G55" i="14" s="1"/>
  <c r="G49" i="14"/>
  <c r="F23" i="14"/>
  <c r="F33" i="14"/>
  <c r="F35" i="14"/>
  <c r="F37" i="14"/>
  <c r="G59" i="14" l="1"/>
  <c r="H59" i="14"/>
  <c r="E19" i="22"/>
  <c r="D245" i="26" l="1"/>
  <c r="E245" i="26"/>
  <c r="E244" i="26" l="1"/>
  <c r="E242" i="26" s="1"/>
  <c r="D244" i="26"/>
  <c r="D242" i="26" s="1"/>
  <c r="H34" i="14" l="1"/>
  <c r="H19" i="22" l="1"/>
  <c r="G19" i="22"/>
  <c r="D159" i="26" l="1"/>
  <c r="E221" i="26" l="1"/>
  <c r="D175" i="26" l="1"/>
  <c r="D174" i="26" l="1"/>
  <c r="D157" i="26" l="1"/>
  <c r="E193" i="26" l="1"/>
  <c r="F174" i="26" l="1"/>
  <c r="F157" i="26" l="1"/>
  <c r="F245" i="26"/>
  <c r="F244" i="26" l="1"/>
  <c r="F242" i="26" l="1"/>
  <c r="E230" i="26"/>
  <c r="E229" i="26" s="1"/>
  <c r="D213" i="26"/>
  <c r="E216" i="26" l="1"/>
  <c r="E215" i="26" l="1"/>
  <c r="E213" i="26" l="1"/>
  <c r="G5" i="24"/>
  <c r="D17" i="22" l="1"/>
  <c r="E17" i="22"/>
  <c r="E6" i="22" s="1"/>
  <c r="F17" i="22"/>
  <c r="F7" i="22"/>
  <c r="D152" i="26"/>
  <c r="E153" i="26"/>
  <c r="D150" i="26" l="1"/>
  <c r="F6" i="22"/>
  <c r="I6" i="22" s="1"/>
  <c r="E152" i="26"/>
  <c r="H17" i="22"/>
  <c r="G17" i="22"/>
  <c r="H10" i="22"/>
  <c r="G10" i="22"/>
  <c r="E159" i="26"/>
  <c r="F152" i="26"/>
  <c r="E174" i="26"/>
  <c r="D6" i="22"/>
  <c r="D138" i="26"/>
  <c r="F138" i="26" l="1"/>
  <c r="E125" i="26"/>
  <c r="D127" i="26"/>
  <c r="E150" i="26"/>
  <c r="E157" i="26"/>
  <c r="G6" i="22"/>
  <c r="H6" i="22"/>
  <c r="F150" i="26"/>
  <c r="H10" i="26"/>
  <c r="G10" i="26"/>
  <c r="F125" i="26" l="1"/>
  <c r="D125" i="26"/>
  <c r="D7" i="26"/>
  <c r="C25" i="14" l="1"/>
  <c r="F50" i="14"/>
  <c r="E50" i="14"/>
  <c r="D50" i="14"/>
  <c r="H49" i="14"/>
  <c r="H48" i="14"/>
  <c r="G48" i="14"/>
  <c r="H47" i="14"/>
  <c r="G47" i="14"/>
  <c r="H46" i="14"/>
  <c r="G46" i="14"/>
  <c r="H45" i="14"/>
  <c r="G45" i="14"/>
  <c r="E81" i="14"/>
  <c r="E93" i="14" s="1"/>
  <c r="I85" i="14"/>
  <c r="G50" i="14" l="1"/>
  <c r="H50" i="14"/>
  <c r="H7" i="22" l="1"/>
  <c r="G7" i="22"/>
  <c r="M9" i="9" l="1"/>
  <c r="H9" i="26"/>
  <c r="G9" i="26"/>
  <c r="H23" i="22"/>
  <c r="H30" i="22"/>
  <c r="H60" i="22"/>
  <c r="H62" i="22"/>
  <c r="H83" i="22"/>
  <c r="G23" i="22"/>
  <c r="G30" i="22"/>
  <c r="G60" i="22"/>
  <c r="G62" i="22"/>
  <c r="G83" i="22"/>
  <c r="P9" i="9" l="1"/>
  <c r="H7" i="26"/>
  <c r="G7" i="26"/>
  <c r="O9" i="9"/>
  <c r="F5" i="24"/>
  <c r="H71" i="14" l="1"/>
  <c r="G71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1" i="14"/>
  <c r="H12" i="14"/>
  <c r="H13" i="14"/>
  <c r="H14" i="14"/>
  <c r="H17" i="14"/>
  <c r="H18" i="14"/>
  <c r="H19" i="14"/>
  <c r="H20" i="14"/>
  <c r="H21" i="14"/>
  <c r="H23" i="14"/>
  <c r="H24" i="14"/>
  <c r="H27" i="14"/>
  <c r="H28" i="14"/>
  <c r="H29" i="14"/>
  <c r="H30" i="14"/>
  <c r="H32" i="14"/>
  <c r="H33" i="14"/>
  <c r="H35" i="14"/>
  <c r="H37" i="14"/>
  <c r="H38" i="14"/>
  <c r="H40" i="14"/>
  <c r="H41" i="14"/>
  <c r="H8" i="14" l="1"/>
  <c r="G18" i="14"/>
  <c r="G19" i="14"/>
  <c r="G20" i="14"/>
  <c r="G21" i="14"/>
  <c r="G10" i="14"/>
  <c r="G11" i="14"/>
  <c r="G12" i="14"/>
  <c r="G13" i="14"/>
  <c r="G14" i="14"/>
  <c r="G17" i="14"/>
  <c r="G23" i="14"/>
  <c r="G24" i="14"/>
  <c r="G27" i="14"/>
  <c r="G28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70" i="14"/>
  <c r="D70" i="14"/>
  <c r="E70" i="14"/>
  <c r="F70" i="14"/>
  <c r="G70" i="14" l="1"/>
  <c r="H70" i="14"/>
  <c r="D57" i="14"/>
  <c r="D52" i="14"/>
  <c r="C52" i="14"/>
  <c r="D64" i="14"/>
  <c r="E64" i="14"/>
  <c r="F64" i="14"/>
  <c r="C64" i="14"/>
  <c r="E57" i="14"/>
  <c r="F57" i="14"/>
  <c r="E52" i="14"/>
  <c r="F52" i="14"/>
  <c r="E25" i="14"/>
  <c r="D22" i="14"/>
  <c r="E22" i="14"/>
  <c r="E42" i="14" s="1"/>
  <c r="C42" i="14"/>
  <c r="G64" i="14" l="1"/>
  <c r="G57" i="14"/>
  <c r="H52" i="14"/>
  <c r="G52" i="14"/>
  <c r="D42" i="14"/>
  <c r="F22" i="14"/>
  <c r="H22" i="14" s="1"/>
  <c r="H64" i="14"/>
  <c r="H57" i="14"/>
  <c r="C68" i="14"/>
  <c r="E68" i="14"/>
  <c r="D68" i="14"/>
  <c r="F68" i="14"/>
  <c r="D25" i="14"/>
  <c r="F16" i="14"/>
  <c r="E16" i="14"/>
  <c r="C16" i="14"/>
  <c r="D9" i="14"/>
  <c r="C9" i="14"/>
  <c r="C43" i="14" l="1"/>
  <c r="G68" i="14"/>
  <c r="F42" i="14"/>
  <c r="H42" i="14" s="1"/>
  <c r="G22" i="14"/>
  <c r="F9" i="14"/>
  <c r="H9" i="14" s="1"/>
  <c r="D15" i="14"/>
  <c r="D31" i="14" s="1"/>
  <c r="D36" i="14" s="1"/>
  <c r="F25" i="14"/>
  <c r="D43" i="14"/>
  <c r="E15" i="14"/>
  <c r="E31" i="14" s="1"/>
  <c r="E43" i="14"/>
  <c r="H16" i="14"/>
  <c r="H68" i="14"/>
  <c r="G16" i="14"/>
  <c r="F43" i="14" l="1"/>
  <c r="G43" i="14" s="1"/>
  <c r="E36" i="14"/>
  <c r="E39" i="14" s="1"/>
  <c r="G42" i="14"/>
  <c r="G9" i="14"/>
  <c r="H25" i="14"/>
  <c r="G25" i="14"/>
  <c r="H43" i="14" l="1"/>
  <c r="F31" i="14"/>
  <c r="F15" i="14"/>
  <c r="C15" i="14"/>
  <c r="C31" i="14" s="1"/>
  <c r="C36" i="14" s="1"/>
  <c r="C39" i="14" s="1"/>
  <c r="D39" i="14" l="1"/>
  <c r="F39" i="14" s="1"/>
  <c r="G15" i="14"/>
  <c r="H15" i="14"/>
  <c r="H31" i="14"/>
  <c r="G31" i="14"/>
  <c r="F36" i="14" l="1"/>
  <c r="H36" i="14" s="1"/>
  <c r="H39" i="14"/>
  <c r="G39" i="14"/>
  <c r="G36" i="14" l="1"/>
</calcChain>
</file>

<file path=xl/sharedStrings.xml><?xml version="1.0" encoding="utf-8"?>
<sst xmlns="http://schemas.openxmlformats.org/spreadsheetml/2006/main" count="1212" uniqueCount="638">
  <si>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</si>
  <si>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</si>
  <si>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</si>
  <si>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</si>
  <si>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</si>
  <si>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</si>
  <si>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</si>
  <si>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</si>
  <si>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</si>
  <si>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</si>
  <si>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</si>
  <si>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</si>
  <si>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</si>
  <si>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</si>
  <si>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</si>
  <si>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</si>
  <si>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</si>
  <si>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</si>
  <si>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</si>
  <si>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</si>
  <si>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</si>
  <si>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</si>
  <si>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</si>
  <si>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</si>
  <si>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</si>
  <si>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</si>
  <si>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</si>
  <si>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</si>
  <si>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</si>
  <si>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</si>
  <si>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</si>
  <si>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</si>
  <si>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</si>
  <si>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</si>
  <si>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</si>
  <si>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</si>
  <si>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</si>
  <si>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</si>
  <si>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</si>
  <si>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</si>
  <si>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</si>
  <si>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</si>
  <si>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</si>
  <si>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</si>
  <si>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</si>
  <si>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</si>
  <si>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</si>
  <si>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</si>
  <si>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</si>
  <si>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</si>
  <si>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</si>
  <si>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</si>
  <si>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</si>
  <si>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</si>
  <si>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</si>
  <si>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</si>
  <si>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</si>
  <si>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</si>
  <si>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</si>
  <si>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</si>
  <si>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</si>
  <si>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</si>
  <si>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</si>
  <si>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</si>
  <si>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</si>
  <si>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</si>
  <si>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</si>
  <si>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</si>
  <si>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</si>
  <si>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</si>
  <si>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</si>
  <si>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</si>
  <si>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</si>
  <si>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</si>
  <si>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</si>
  <si>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</si>
  <si>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</si>
  <si>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</si>
  <si>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</si>
  <si>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</si>
  <si>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</si>
  <si>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</si>
  <si>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</si>
  <si>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</si>
  <si>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</si>
  <si>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</si>
  <si>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</si>
  <si>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</si>
  <si>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</si>
  <si>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</si>
  <si>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</si>
  <si>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</si>
  <si>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</si>
  <si>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</si>
  <si>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</si>
  <si>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</si>
  <si>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</si>
  <si>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</si>
  <si>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</si>
  <si>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</si>
  <si>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</si>
  <si>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</si>
  <si>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</si>
  <si>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</si>
  <si>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</si>
  <si>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4.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</si>
  <si>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</si>
  <si>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</si>
  <si>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</si>
  <si>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</si>
  <si>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</si>
  <si>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</si>
  <si>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</si>
  <si>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</si>
  <si>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</si>
  <si>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</si>
  <si>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</si>
  <si>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</si>
  <si>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</si>
  <si>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</si>
  <si>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</si>
  <si>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</si>
  <si>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</si>
  <si>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</si>
  <si>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</si>
  <si>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</si>
  <si>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</si>
  <si>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</si>
  <si>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</si>
  <si>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</si>
  <si>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</si>
  <si>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</si>
  <si>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</si>
  <si>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</si>
  <si>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</si>
  <si>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</si>
  <si>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</si>
  <si>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</si>
  <si>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</si>
  <si>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</si>
  <si>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</si>
  <si>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</si>
  <si>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</si>
  <si>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</si>
  <si>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</si>
  <si>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</si>
  <si>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</si>
  <si>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</si>
  <si>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</si>
  <si>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</si>
  <si>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</si>
  <si>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</si>
  <si>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</si>
  <si>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</si>
  <si>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</si>
  <si>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</si>
  <si>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</si>
  <si>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</si>
  <si>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</si>
  <si>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</si>
  <si>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</si>
  <si>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</si>
  <si>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</si>
  <si>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</si>
  <si>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</si>
  <si>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</si>
  <si>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</si>
  <si>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</si>
  <si>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</si>
  <si>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</si>
  <si>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</si>
  <si>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</si>
  <si>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</si>
  <si>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>паливно-мастильні матеріали</t>
  </si>
  <si>
    <t>ремонт та технічне обслуговування немедичного обладнання</t>
  </si>
  <si>
    <t>податок на додану вартість</t>
  </si>
  <si>
    <t>витратні матеріали для хворих на цукровий діабет</t>
  </si>
  <si>
    <t>медикаменти та перв'язувальні матеріали</t>
  </si>
  <si>
    <t xml:space="preserve">оплата електроенергії </t>
  </si>
  <si>
    <t xml:space="preserve">вивіз  сміття </t>
  </si>
  <si>
    <t>9.</t>
  </si>
  <si>
    <t>10.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</si>
  <si>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</si>
  <si>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</si>
  <si>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</si>
  <si>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</si>
  <si>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</si>
  <si>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</si>
  <si>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</si>
  <si>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</si>
  <si>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</si>
  <si>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</si>
  <si>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</si>
  <si>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</si>
  <si>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</si>
  <si>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</si>
  <si>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ПДВ</t>
  </si>
  <si>
    <t xml:space="preserve">пільгова пенсія </t>
  </si>
  <si>
    <t>Благодійна допомога в натуральній формі</t>
  </si>
  <si>
    <t xml:space="preserve">канцтовари, періодичні видання </t>
  </si>
  <si>
    <t xml:space="preserve">Благодійна допомога в грошовому еквіваленті 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</si>
  <si>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</si>
  <si>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</si>
  <si>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>металобрухт</t>
  </si>
  <si>
    <t xml:space="preserve"> </t>
  </si>
  <si>
    <t>Кошти бюджету ВМТГ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</si>
  <si>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</si>
  <si>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</si>
  <si>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</si>
  <si>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 xml:space="preserve">публікація в газеті </t>
  </si>
  <si>
    <t>профвнески</t>
  </si>
  <si>
    <t>Директор КНП "ВМКЛ"ЦМтаД"</t>
  </si>
  <si>
    <t>Кошти бюджету ВМТГ (залишки минулих періодів)</t>
  </si>
  <si>
    <t>Директор КНП"ВМКЛ"ЦМтаД"</t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</si>
  <si>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</si>
  <si>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</si>
  <si>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</si>
  <si>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Синьоводська, 142</t>
  </si>
  <si>
    <t xml:space="preserve">Кошти від надання платних послуг </t>
  </si>
  <si>
    <t>3.1.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</si>
  <si>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</si>
  <si>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</si>
  <si>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</si>
  <si>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 xml:space="preserve">банківські послуги </t>
  </si>
  <si>
    <t>адміністративні послуги</t>
  </si>
  <si>
    <t xml:space="preserve">утилізація медичних відходів </t>
  </si>
  <si>
    <t>1.3.4.</t>
  </si>
  <si>
    <t xml:space="preserve">нарахування амортизації на безоплатно отримані активи </t>
  </si>
  <si>
    <t>4.1.</t>
  </si>
  <si>
    <t>4.1.2.</t>
  </si>
  <si>
    <t>4.3.</t>
  </si>
  <si>
    <t>4.3.1.</t>
  </si>
  <si>
    <t>9.1.</t>
  </si>
  <si>
    <t>9.1.1.</t>
  </si>
  <si>
    <t>9.1.2.</t>
  </si>
  <si>
    <t xml:space="preserve">кошти від надання платних послуг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</si>
  <si>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</si>
  <si>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</si>
  <si>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>11.</t>
  </si>
  <si>
    <t xml:space="preserve">земельний податок </t>
  </si>
  <si>
    <t>зберігання архівної документації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</si>
  <si>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</si>
  <si>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</si>
  <si>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</si>
  <si>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інформаційно-консультаційні послуги </t>
  </si>
  <si>
    <t xml:space="preserve">оцінка майна </t>
  </si>
  <si>
    <t>Інші джерела (НСЗУ, гуманітарна допомога,централізовані поставки)</t>
  </si>
  <si>
    <t>Бюджетне фінансування (міський бюджет, днржавний бюджет)</t>
  </si>
  <si>
    <t xml:space="preserve">Капітальний ремонт </t>
  </si>
  <si>
    <t>витрати на відрядження</t>
  </si>
  <si>
    <t>пільгова пенсія</t>
  </si>
  <si>
    <t xml:space="preserve">витрати на відрядження </t>
  </si>
  <si>
    <t xml:space="preserve">інструментальні дослідження </t>
  </si>
  <si>
    <t>Капітальний ремонт приміщень четвертого поверху пологового будинку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 (коригування 2)</t>
  </si>
  <si>
    <t xml:space="preserve">обслуговування ліфтів </t>
  </si>
  <si>
    <t>лабораторні дослідження</t>
  </si>
  <si>
    <t xml:space="preserve">оцінка енергоефективності </t>
  </si>
  <si>
    <t>інструментальні дослідження</t>
  </si>
  <si>
    <t xml:space="preserve">експертний висновок </t>
  </si>
  <si>
    <t>3.1.1.</t>
  </si>
  <si>
    <t>3.1.5.</t>
  </si>
  <si>
    <t>3.2.</t>
  </si>
  <si>
    <t>3.2.2.</t>
  </si>
  <si>
    <t>4.1.1.</t>
  </si>
  <si>
    <t>5.1.</t>
  </si>
  <si>
    <t>5.</t>
  </si>
  <si>
    <t>5.1.1</t>
  </si>
  <si>
    <t>6.</t>
  </si>
  <si>
    <t>6.1.</t>
  </si>
  <si>
    <t>6.1.1.</t>
  </si>
  <si>
    <t>7.</t>
  </si>
  <si>
    <t>7.1.</t>
  </si>
  <si>
    <t>7.1.1.</t>
  </si>
  <si>
    <t>7.2.</t>
  </si>
  <si>
    <t>7.2.1.</t>
  </si>
  <si>
    <t>8.</t>
  </si>
  <si>
    <t>8.2.</t>
  </si>
  <si>
    <t>8.2.1.</t>
  </si>
  <si>
    <t>дохід від оприбуткування вторсировини (металобрухт, медичних відходів)</t>
  </si>
  <si>
    <t xml:space="preserve">встановлення автоматичного шлагбаума з монтажем контролю управління доступу шлагбаумів </t>
  </si>
  <si>
    <t>дератизація, дезинфекція, дезинсекція</t>
  </si>
  <si>
    <t xml:space="preserve">ремонт та технічне обслуговуввання медичного обладнання </t>
  </si>
  <si>
    <t xml:space="preserve">Ролети зовнішні захисні коричневі      </t>
  </si>
  <si>
    <t xml:space="preserve">Блок електронний приладу доступу U-Prox IP 400 EM              </t>
  </si>
  <si>
    <t xml:space="preserve">Зчитувч настільний мультиформатний U-Prox Desktop    </t>
  </si>
  <si>
    <t xml:space="preserve">Зчитувач мультиформатний U-Prox SL maxi           </t>
  </si>
  <si>
    <t xml:space="preserve">Монітор Wide View Karl Storz           </t>
  </si>
  <si>
    <t xml:space="preserve">Чайник нержавійка 1,8л                                    </t>
  </si>
  <si>
    <t xml:space="preserve">Милиці б/у                                         </t>
  </si>
  <si>
    <t xml:space="preserve">Інвалідні тростини       </t>
  </si>
  <si>
    <t xml:space="preserve">Лапароскопічна стійка Kari Storz                </t>
  </si>
  <si>
    <t xml:space="preserve">Освітлювач ACMI OLYM                            </t>
  </si>
  <si>
    <t xml:space="preserve">Камера ConMED                              </t>
  </si>
  <si>
    <t xml:space="preserve">Помпа RIchard WOLF       </t>
  </si>
  <si>
    <t xml:space="preserve">Коагулятор ERBE                  </t>
  </si>
  <si>
    <t xml:space="preserve">Інсуфлятор Karl Storz   </t>
  </si>
  <si>
    <t xml:space="preserve">Система цифрового відеозапису Stryker    </t>
  </si>
  <si>
    <t xml:space="preserve">Ірригатор ENDO-IRRIGATOR Richard WOLF                </t>
  </si>
  <si>
    <t xml:space="preserve">Гістероскоп                                                                                    </t>
  </si>
  <si>
    <t xml:space="preserve">Кушетка               </t>
  </si>
  <si>
    <t xml:space="preserve">Шлагбаум автоматичний,комплект  </t>
  </si>
  <si>
    <t>Світильник безтіньовий стельовий Mach-5 Німеччина,Т.В.</t>
  </si>
  <si>
    <t xml:space="preserve">Камера відеоспостереження SN-IPR57/20AKD/T/Z </t>
  </si>
  <si>
    <t xml:space="preserve">Холодильник для вакцин   </t>
  </si>
  <si>
    <t xml:space="preserve">Консоль операційна  </t>
  </si>
  <si>
    <t xml:space="preserve">Вентиляційна система (PRANNA 200C+PRANNA150 з комлектом автоматики)           </t>
  </si>
  <si>
    <t>Кошти від надання платних послуг (залишки минулих періодів)</t>
  </si>
  <si>
    <t>1.2.1.</t>
  </si>
  <si>
    <t xml:space="preserve">проведення наглядового аудиту сертифікації управління якістю </t>
  </si>
  <si>
    <t xml:space="preserve">адвокатські послуги </t>
  </si>
  <si>
    <t xml:space="preserve">вивезення сміття </t>
  </si>
  <si>
    <t xml:space="preserve">страхування цивільної відповідальності власників транспортних засобів </t>
  </si>
  <si>
    <t xml:space="preserve">страхування цивільно-правової відповідальностьі власників транспортних засобів </t>
  </si>
  <si>
    <t xml:space="preserve">Апарат для неінвазивної ШВЛ </t>
  </si>
  <si>
    <t xml:space="preserve">Система рентгенівська діагностична мобільна </t>
  </si>
  <si>
    <t xml:space="preserve">страхування майна </t>
  </si>
  <si>
    <t>страхування майна</t>
  </si>
  <si>
    <t xml:space="preserve">Земельна ділянка (Довженка О.) 0,0171 га)                      </t>
  </si>
  <si>
    <t xml:space="preserve">Приліжковий монітор пацієнта PVN-4763       </t>
  </si>
  <si>
    <t xml:space="preserve">Білірубінометр локальний SL014075                </t>
  </si>
  <si>
    <t xml:space="preserve">Фототерапевтична система,лед,для новонароджених SL016147   </t>
  </si>
  <si>
    <t xml:space="preserve">Білірубінометр         </t>
  </si>
  <si>
    <t xml:space="preserve">Інфузійний нвсос BeneFusion uVP                  </t>
  </si>
  <si>
    <t xml:space="preserve">Реабілітаційний велоергометр GB5007             </t>
  </si>
  <si>
    <t xml:space="preserve">Підйомник(ремінь 2шт,акумулятор)             </t>
  </si>
  <si>
    <t xml:space="preserve">Рентгенівська система діагностична мобільна JUMONG MOBILE      </t>
  </si>
  <si>
    <t xml:space="preserve">Рентгенівська система діагностична мобільна JUMONG MOBILE       </t>
  </si>
  <si>
    <t xml:space="preserve">Апарат дихальний Infant Flow SIPAP(Сіпап)           </t>
  </si>
  <si>
    <t xml:space="preserve">Апарат дихальний Infant Flow SIPAP(Сіпап) </t>
  </si>
  <si>
    <t xml:space="preserve">Транскутанний білірубінометр Drager JM 105  </t>
  </si>
  <si>
    <t xml:space="preserve">Вентиляційна установка PRANNA 150 з комплектом автоматики </t>
  </si>
  <si>
    <t xml:space="preserve">Амбліостимулятор Лелека Аист-01ЛК     </t>
  </si>
  <si>
    <t>Вимірювач артериального тиску механічний у комплекті зі стетоскопом ,манометром та манжетою стандартною</t>
  </si>
  <si>
    <t xml:space="preserve">Ендоскоп 2,7мм 108мм                                             </t>
  </si>
  <si>
    <t xml:space="preserve">Портативне джерело світла до ендоскопу                   </t>
  </si>
  <si>
    <t xml:space="preserve">USB 3.1 HDD Apacer 2TB 2.5 (AP2TBAC532B-1)Black     </t>
  </si>
  <si>
    <t>2.1.</t>
  </si>
  <si>
    <t>2.1.1.</t>
  </si>
  <si>
    <t>2.1.2.</t>
  </si>
  <si>
    <t>2.1.3.</t>
  </si>
  <si>
    <t>2.1.4.</t>
  </si>
  <si>
    <t>2.1.5.</t>
  </si>
  <si>
    <t>2.2.</t>
  </si>
  <si>
    <t>2.2.2.</t>
  </si>
  <si>
    <t>2.3.</t>
  </si>
  <si>
    <t>2.3.1.</t>
  </si>
  <si>
    <t xml:space="preserve">лабораторні дослідження </t>
  </si>
  <si>
    <t xml:space="preserve">ремонт та технічне осблуговування авто </t>
  </si>
  <si>
    <t>План 
за 9 місяців 2025 рік</t>
  </si>
  <si>
    <t>за 9 місяців 2024 рік</t>
  </si>
  <si>
    <t>за 9 місяців 2025 рік</t>
  </si>
  <si>
    <t>Звітний за 9 місяців 2025 рік</t>
  </si>
  <si>
    <t>Факт 
за 9 місяців 2025 рік</t>
  </si>
  <si>
    <t>план за 9 місяців 
2025 року</t>
  </si>
  <si>
    <t>факт 
за 9 місяців  2025 року</t>
  </si>
  <si>
    <t>9.1.3.</t>
  </si>
  <si>
    <t>Нове будівництво розвідувально-експлуатаційної свердловини для господарсько-питного водопостачання за адресою: Україна, м. Вінниця, вул. Синьоводська, 142</t>
  </si>
  <si>
    <t xml:space="preserve">Тубус-кварц                                                                                                                                                                                             </t>
  </si>
  <si>
    <t xml:space="preserve">Відеокамера купольна        </t>
  </si>
  <si>
    <t xml:space="preserve">Відеокамера на кронштейні     </t>
  </si>
  <si>
    <t xml:space="preserve">Випромінювач бактеріоцидний ОБН-150 МО       </t>
  </si>
  <si>
    <t xml:space="preserve">Тумба з стільницею 770*1500*450мм                                                                                                                                                                       </t>
  </si>
  <si>
    <t xml:space="preserve">Тумба з стільницею 880*1150*510мм          </t>
  </si>
  <si>
    <t xml:space="preserve">Тумба з стільницею 770*1150*400мм              </t>
  </si>
  <si>
    <t xml:space="preserve">Шафа 2100*1250*420мм   </t>
  </si>
  <si>
    <t xml:space="preserve">Тумба навісна під сушку 720*600*300мм                                                                                                                                                                   </t>
  </si>
  <si>
    <t xml:space="preserve">Полиця консольна 19          </t>
  </si>
  <si>
    <t xml:space="preserve">Кабельний організатор 19 однобічна гребінка         </t>
  </si>
  <si>
    <t xml:space="preserve">Патч-панель 19 в зборі          </t>
  </si>
  <si>
    <t xml:space="preserve">Адаптер </t>
  </si>
  <si>
    <t>Пігтейл 1,5м</t>
  </si>
  <si>
    <t xml:space="preserve">Джерело безперебійного живлення 2000         </t>
  </si>
  <si>
    <t xml:space="preserve">Шнур живлення          </t>
  </si>
  <si>
    <t xml:space="preserve">Модуль  </t>
  </si>
  <si>
    <t xml:space="preserve">Точка доступу WI-FI    </t>
  </si>
  <si>
    <t xml:space="preserve">Шафа 2400*600*600мм     </t>
  </si>
  <si>
    <t xml:space="preserve">Тумба 1100*900*600мм      </t>
  </si>
  <si>
    <t xml:space="preserve">Шафа для інвентарю 1950*700*450мм       </t>
  </si>
  <si>
    <t xml:space="preserve">Телевізор LG 32LQ630B6LA Smart TV                 </t>
  </si>
  <si>
    <t xml:space="preserve">Цифрвий тонометр WBP108         </t>
  </si>
  <si>
    <t xml:space="preserve">Протипролежневий матрац з компресором М01                                                                                                                                                               </t>
  </si>
  <si>
    <t xml:space="preserve">Протипролежневий матрац з компресором М05   </t>
  </si>
  <si>
    <t xml:space="preserve">Штатив для вливань ШТ-1   </t>
  </si>
  <si>
    <t xml:space="preserve">Штатив на колесах ШТк-4      </t>
  </si>
  <si>
    <t xml:space="preserve">Столик маніпуляційний,столешниця з нержавіючої сталі СМ-3  </t>
  </si>
  <si>
    <t xml:space="preserve">Портативний медичний ендоскоп М9 S      </t>
  </si>
  <si>
    <t xml:space="preserve">Спірометр HEACO SP10W          </t>
  </si>
  <si>
    <t xml:space="preserve">Відеокамера IP SEVEN IP-7212PA white 2.8mm         </t>
  </si>
  <si>
    <t xml:space="preserve">Відеокамера Р EVEN IP-7215PA white         </t>
  </si>
  <si>
    <t xml:space="preserve">Відеореєстратор 16-канальний IP        </t>
  </si>
  <si>
    <t xml:space="preserve">Свіч 4-х портовий                                                                                                                                                                                       </t>
  </si>
  <si>
    <t xml:space="preserve">Свіч 8-х портовий                                    </t>
  </si>
  <si>
    <t xml:space="preserve">Свіч 5-х портовий           </t>
  </si>
  <si>
    <t xml:space="preserve">Тумба приліжкова б/в      </t>
  </si>
  <si>
    <t xml:space="preserve">Кушетка масажна б/в                                        </t>
  </si>
  <si>
    <t xml:space="preserve">Кушетка б/в    </t>
  </si>
  <si>
    <t xml:space="preserve">Операційний стіл з приводом б/в       </t>
  </si>
  <si>
    <t xml:space="preserve">Підйомник пацієнта б/в  </t>
  </si>
  <si>
    <t xml:space="preserve">Бігова доріжка з опорами б/в  </t>
  </si>
  <si>
    <t xml:space="preserve">Орбітрек б/в                 </t>
  </si>
  <si>
    <t xml:space="preserve">Степпер б/в       </t>
  </si>
  <si>
    <t xml:space="preserve">Тренажер малий універсальний б/в   </t>
  </si>
  <si>
    <t xml:space="preserve">Ергометр б/в                                                                                                                                                                                            </t>
  </si>
  <si>
    <t xml:space="preserve">Інвалідний дитячий візок б/в      </t>
  </si>
  <si>
    <t xml:space="preserve">Стілець для душу б/в                            </t>
  </si>
  <si>
    <t xml:space="preserve">Фен б/в                   </t>
  </si>
  <si>
    <t xml:space="preserve">Вогнегасник          </t>
  </si>
  <si>
    <t xml:space="preserve">Тумба на колесах на 4 полички із м"якими сидіннями б/в    </t>
  </si>
  <si>
    <t xml:space="preserve">Шафа з ролетними дверцятами б/в       </t>
  </si>
  <si>
    <t xml:space="preserve">Стільці з дерев"яним сидінням          </t>
  </si>
  <si>
    <t xml:space="preserve">Підковдра б/в    </t>
  </si>
  <si>
    <t xml:space="preserve">Ковдра велика літня б/в  </t>
  </si>
  <si>
    <t xml:space="preserve">Ковдра мала літня б/в                                                             </t>
  </si>
  <si>
    <t xml:space="preserve">Підковдра дитяча б/в                                       </t>
  </si>
  <si>
    <t xml:space="preserve">Пледи дитячі б/в                   </t>
  </si>
  <si>
    <t xml:space="preserve">Відеокамера 2 Мп 2,8мм     </t>
  </si>
  <si>
    <t xml:space="preserve">Свіч 5 портовий TP-Link                                             </t>
  </si>
  <si>
    <t xml:space="preserve">Джерело безперебійного живлення SEVEN UPS-7960   </t>
  </si>
  <si>
    <t xml:space="preserve">Бокс для обладнання системи доступу і відеоспостереження      </t>
  </si>
  <si>
    <t xml:space="preserve">Бокс антивандальний                                                                </t>
  </si>
  <si>
    <t xml:space="preserve">Жорсткий диск WD Purple 4000 гб                                                                                                                                                                         </t>
  </si>
  <si>
    <t xml:space="preserve">Відеодомофон IP DS-KH6351-WTE1             </t>
  </si>
  <si>
    <t xml:space="preserve">Відеопанель Hikvision IP DS-KV6113        </t>
  </si>
  <si>
    <t xml:space="preserve">Пульсоксиметр CMS50C                            </t>
  </si>
  <si>
    <t xml:space="preserve">Глюкометр,система моніторингу рівня глюкози в крові Safe AQ Voice                                                                                                                                       </t>
  </si>
  <si>
    <t xml:space="preserve">Фетальний доплер FD88                                                                                                                                                                                   </t>
  </si>
  <si>
    <t xml:space="preserve">Плед для н/н 70*90      </t>
  </si>
  <si>
    <t xml:space="preserve">Конверт дитячий      </t>
  </si>
  <si>
    <t xml:space="preserve">Опромінювач бактеріцидний (3*30)ОБПе-225 М Заповіт     </t>
  </si>
  <si>
    <t xml:space="preserve">Фен настінний Trento 2000w                            </t>
  </si>
  <si>
    <t xml:space="preserve">Апарат для динамічної офтальмохромотерапії Веселка  </t>
  </si>
  <si>
    <t xml:space="preserve">Амбліостимулятор Лелека Аист-01ЛК                      </t>
  </si>
  <si>
    <t xml:space="preserve">Системний блок у складі(корпус GameMax ST607-400W.Intel Core i3-10100(BX8070110100) s 1200 Box.8GB     </t>
  </si>
  <si>
    <t xml:space="preserve">Наматрацник дитячий                           </t>
  </si>
  <si>
    <t xml:space="preserve">Комплект білизни(простирадло,підковдра,наволочка)           </t>
  </si>
  <si>
    <t xml:space="preserve">Посудомийна машина INDESIT DSCFE 1D10 S RU     </t>
  </si>
  <si>
    <t xml:space="preserve">Електрочайник HOLMER HKS-202D(Подвійні стінки)        </t>
  </si>
  <si>
    <t xml:space="preserve">Акумуляторна батарея 25 Ah/12V         </t>
  </si>
  <si>
    <t xml:space="preserve">Світильник стельовий світлодіоднй 36 Вт 6500К      </t>
  </si>
  <si>
    <t xml:space="preserve">Світильник світлодіодний 24 Вт 4100К   </t>
  </si>
  <si>
    <t xml:space="preserve">Акумулятор EXIDE 77 Ar 760А Premium Євро правий +          </t>
  </si>
  <si>
    <t xml:space="preserve">Кронштейн для телевізора ATG W2450AB для діагоналей 24-50 дюйма                                                                                                                                         </t>
  </si>
  <si>
    <t xml:space="preserve">Негатоскоп Н-1                           </t>
  </si>
  <si>
    <t xml:space="preserve">Пульсоксиметр Heaco G1B укомплектований датчиком Sp02 для немовляти                                                                                                                                     </t>
  </si>
  <si>
    <t xml:space="preserve">Інвалідний візок                     </t>
  </si>
  <si>
    <t xml:space="preserve">Ходунки          </t>
  </si>
  <si>
    <t xml:space="preserve">Колонки 3800 чорні                            </t>
  </si>
  <si>
    <t xml:space="preserve">Подушка                           </t>
  </si>
  <si>
    <t xml:space="preserve">Лінійно-інтерактивне ДБЖ Marsriva MR-UF800L         </t>
  </si>
  <si>
    <t xml:space="preserve">Система ортезів на нижні кінківки(по типу Гравістат)      </t>
  </si>
  <si>
    <t xml:space="preserve">Інвалідний візок б/в                                                            </t>
  </si>
  <si>
    <t xml:space="preserve">Стуло-туалет     </t>
  </si>
  <si>
    <t xml:space="preserve">Ліжко медичне                                                                                                                                                                                           </t>
  </si>
  <si>
    <t xml:space="preserve">Ліжко дитяче          </t>
  </si>
  <si>
    <t xml:space="preserve">Сидіння для душа            </t>
  </si>
  <si>
    <t xml:space="preserve">Стільці з отворами     </t>
  </si>
  <si>
    <t xml:space="preserve">Тренажер                                                                                                                                                                                                </t>
  </si>
  <si>
    <t xml:space="preserve">Сидіння для туалету                                                          </t>
  </si>
  <si>
    <t xml:space="preserve">Пароочисник SC2                                </t>
  </si>
  <si>
    <t xml:space="preserve">Комп"ютерний комплекс(монітор Acer,системний блок Logik power LG Modics,мишка,принтер CANON MP-230)    </t>
  </si>
  <si>
    <t xml:space="preserve">Монітор Asus 23.8 VA24EHF IPS Black      </t>
  </si>
  <si>
    <t xml:space="preserve">Комплект мишка та клавіатура A4-Tach   </t>
  </si>
  <si>
    <t xml:space="preserve">ДБЖ Powercom BNT-600AP               </t>
  </si>
  <si>
    <t xml:space="preserve">Терапевтична кушетка                                                   </t>
  </si>
  <si>
    <t xml:space="preserve">Ящик з рубильником і запобіжниками            </t>
  </si>
  <si>
    <t xml:space="preserve">Телефон IP Grandstream GRP2603P               </t>
  </si>
  <si>
    <t xml:space="preserve">Насос ручний для бочки з оливою роторний 26л       </t>
  </si>
  <si>
    <t xml:space="preserve">Болгарка 125мм,1400Вт 6000-12200 об/хв.регул.та стаб.оборотів. </t>
  </si>
  <si>
    <t xml:space="preserve">Ліжко медичне бв                                                                 </t>
  </si>
  <si>
    <t xml:space="preserve">Пристрій зарядний імпульсний 12-24В 2,0-15,ОА, 15,0-400 А/год ДСВ дисплей,мікропроцесор ARMER   </t>
  </si>
  <si>
    <t xml:space="preserve">Підйомник пацієнта                     </t>
  </si>
  <si>
    <t xml:space="preserve">Стійка для інфузій(IV-штатив)               </t>
  </si>
  <si>
    <t xml:space="preserve">Маршрутизатор Wi-Fi TP-LINK Archer C6                           </t>
  </si>
  <si>
    <t xml:space="preserve">Засіб КЗІ електрон.ключ Secure Token -338M         </t>
  </si>
  <si>
    <t xml:space="preserve">Медичне ліжко                       </t>
  </si>
  <si>
    <t xml:space="preserve">Ходунки б/в      </t>
  </si>
  <si>
    <t xml:space="preserve">Фартух для рентгенології               </t>
  </si>
  <si>
    <t xml:space="preserve">Ковдра                                    </t>
  </si>
  <si>
    <t xml:space="preserve">Швейна машинка    </t>
  </si>
  <si>
    <t xml:space="preserve">Ходунки  </t>
  </si>
  <si>
    <t xml:space="preserve">Розбірні медичні оглядові столи              </t>
  </si>
  <si>
    <t xml:space="preserve">Мобільний телефон ERGO B184                    </t>
  </si>
  <si>
    <t xml:space="preserve">Чайник електричний 3400 2л  </t>
  </si>
  <si>
    <t xml:space="preserve">Вітрина холодильна "FROST STREAM" PRIMA           </t>
  </si>
  <si>
    <t xml:space="preserve">Апарат штучної вентиляції легень Savina 300     </t>
  </si>
  <si>
    <t xml:space="preserve">Апарат ШВЛ                </t>
  </si>
  <si>
    <t xml:space="preserve">Система тренування зорово-моторних навичок " TOUCH VISION " </t>
  </si>
  <si>
    <t xml:space="preserve">Реабілітаційна бігова доріжка Bodi Charger GT8800 RF      </t>
  </si>
  <si>
    <t xml:space="preserve">Стерилізатор паровий M1-ST-100-HA-17         </t>
  </si>
  <si>
    <t xml:space="preserve">Медична ендоскопічна камера SY-GW1000C     </t>
  </si>
  <si>
    <t xml:space="preserve">Медичний ендоскопічний освітлювач SY-GW1000L             </t>
  </si>
  <si>
    <t xml:space="preserve">Медичний ендоскопічний відеозаписуючий пристрій SY-R100                                                                                                                                                 </t>
  </si>
  <si>
    <t xml:space="preserve">Перетворювач з кабелем HD-CSH01     </t>
  </si>
  <si>
    <t xml:space="preserve">Щілинна лампа SL-M6 зі столом                </t>
  </si>
  <si>
    <t xml:space="preserve">Підігрівач інфузійних розчинів та крові FT800   </t>
  </si>
  <si>
    <t xml:space="preserve">Апарат штучної вентиляції легень Savina 300                                                                                                                                                             </t>
  </si>
  <si>
    <t xml:space="preserve">Транскутанний білірубінометр Drager JM 105   </t>
  </si>
  <si>
    <t xml:space="preserve">Кухонний набір в палату 4200*600*850мм(в комплекті з мийками та змішувачами)   </t>
  </si>
  <si>
    <t xml:space="preserve">Шафа 2650*2780*650мм       </t>
  </si>
  <si>
    <t xml:space="preserve">Шафа 2300*1000*700мм                                                                                                                                                                                    </t>
  </si>
  <si>
    <t xml:space="preserve">Шафа 2650*2000*500мм     </t>
  </si>
  <si>
    <t xml:space="preserve">Шафа 2720*1500*400мм      </t>
  </si>
  <si>
    <t>Тумба над диваном 2700*600*330мм</t>
  </si>
  <si>
    <t xml:space="preserve">Кондиціонер(устаткування)        </t>
  </si>
  <si>
    <t xml:space="preserve">Комутатор 1200 24                                                                                                                                                                                       </t>
  </si>
  <si>
    <t xml:space="preserve">Крісло гінекологічне КГ-3Е з одним електроприводом  </t>
  </si>
  <si>
    <t xml:space="preserve">Прилад реєстрації отоакустичної емісії МАІСО           </t>
  </si>
  <si>
    <t xml:space="preserve">Шафа в ординиторську </t>
  </si>
  <si>
    <t xml:space="preserve">Шафа 2100*2400*500мм    </t>
  </si>
  <si>
    <t xml:space="preserve">Системний блок у складі (Корпус ,блок живлення,накопичувач)     </t>
  </si>
  <si>
    <t xml:space="preserve">Неттоп HP ProDesk 600 G3 Mini OS Windows 10 Pro(вживане)      </t>
  </si>
  <si>
    <t xml:space="preserve">Термозварювальний імпульсний апарат                         </t>
  </si>
  <si>
    <t xml:space="preserve">Стійка медична ендоскопічна SY-T2                </t>
  </si>
  <si>
    <t xml:space="preserve">Апарат наркозно-дихальний Atlan A350     </t>
  </si>
  <si>
    <t>Камера ConMED</t>
  </si>
  <si>
    <t xml:space="preserve">капітальне будівництво </t>
  </si>
  <si>
    <t>за 9 місяців 2024 року</t>
  </si>
  <si>
    <t>Звітний за місяців 2025 рік</t>
  </si>
  <si>
    <t>10.1</t>
  </si>
  <si>
    <t>10.1.1</t>
  </si>
  <si>
    <t>10.1.2</t>
  </si>
  <si>
    <t>10.2</t>
  </si>
  <si>
    <t>10.2.1</t>
  </si>
  <si>
    <t>10.3</t>
  </si>
  <si>
    <t>10.3.1</t>
  </si>
  <si>
    <t>11.1</t>
  </si>
  <si>
    <t>11.1.1</t>
  </si>
  <si>
    <t>11.2</t>
  </si>
  <si>
    <t>11.2.1</t>
  </si>
  <si>
    <t xml:space="preserve">ЗВІТ
 про виконання показників фінансового плану Комунального некомерційного підприємства "Вінницька міська клінічна лікарня "Центр матері та дитини"
за 9 місяців 2025 року </t>
  </si>
  <si>
    <t>-</t>
  </si>
  <si>
    <t>Факт 
за 9 місяців 2024 рік</t>
  </si>
  <si>
    <t>Реконструкція частини покрівлі будівлі лікарні (літера Л) з влаштуванням сонячної електростанції КНП "ВМКЛ "ЦМтаД" по вул.Синьоводській, 142 (заходи з енергозбереження)</t>
  </si>
  <si>
    <t>Реконструкція мереж електропостачання будівлі стаціонару (літера Л) та будівлі пологового будинку (літера В) з влаштуванням дизель-генератора для забезпечення резервного живлення в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</si>
  <si>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Капітальний ремонт укриття будівлі пологового будинку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</si>
  <si>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Капітальний ремонт приміщень п`ятого поверху з заміною інженерних мереж будівлі пологового будинку (літера В) комунального некомерційного підприємства «Вінницька міська клінічна лікарня «Центр матері та дитини» за адресою: Україна, м. Вінниця, вул. Синьоводська, 142</t>
  </si>
  <si>
    <t>Капітальний ремонт Монтаж та налагодження системи пожежної сигналізації, кнрування евакуюванням (в частині мовленнєвого оповіщення про пожежу), централізованого пожежного спостерігання на обєкті: Будівля пологового будинку ( літ.В) (1-3 поверх)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</si>
  <si>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 xml:space="preserve">Мережеве сховище SYNOLOGY NAS DS+Series 8 TB HDD    </t>
  </si>
  <si>
    <t xml:space="preserve">Кольпоскоп МК-200 з відеосистемою (230232)           </t>
  </si>
  <si>
    <t>Кольпоскоп МК-200 з відеосистемою та варіоб"єктивом f=200-400мм(230231</t>
  </si>
  <si>
    <t xml:space="preserve">Інструмент для фототерапії </t>
  </si>
  <si>
    <t xml:space="preserve">Зволожувач  </t>
  </si>
  <si>
    <t>Холодильник для вакцин</t>
  </si>
  <si>
    <t>Інкубатор для перевезення немовлят (комплект кисневих балонів, змін акумулят.та дроти, АШВЛ, візок,носилки)</t>
  </si>
  <si>
    <t>Генератор FLMFRAA 300 OTO/ KB/JN 240kW/300kVA/50 Hz/Engine:FORD/9G30/Diesel,Voitage 400/231 V,650 I fuel tank з набором для інсталяції</t>
  </si>
  <si>
    <t xml:space="preserve">Електрокоагулятор високочастотний зварювальний МАРК АІ в комплекті </t>
  </si>
  <si>
    <t xml:space="preserve">Тестер бактерицидних ламп УФ-радіометр,ТЕНЗОР-71Б(з калібруванням)   </t>
  </si>
  <si>
    <t xml:space="preserve">Лапароскоп  </t>
  </si>
  <si>
    <t xml:space="preserve">Мікроскоп серії BioBlue              </t>
  </si>
  <si>
    <t xml:space="preserve">Мікроскоп серії BioBlue BB/4260    </t>
  </si>
  <si>
    <t xml:space="preserve">Апврат штучної вентиляції легень Savina 300     </t>
  </si>
  <si>
    <t>Ножиці лапароскопічні, 5*330мм, вигнуті, з двома рухомими браншами  (6 шт)</t>
  </si>
  <si>
    <t xml:space="preserve">Датчик конвексний RAB2-5-D           </t>
  </si>
  <si>
    <t xml:space="preserve">Ендоскоп(до набору гістерорезектоскопу)       </t>
  </si>
  <si>
    <t xml:space="preserve">Робочий елемент,пасивний(до набору гістерорезектоскопу)   </t>
  </si>
  <si>
    <t xml:space="preserve">Комутатор Cisco CBS 220 48*GE      </t>
  </si>
  <si>
    <t xml:space="preserve">Комутатор Cisco 24*10/100/1000            </t>
  </si>
  <si>
    <t xml:space="preserve">Електротерапевтичний прилад StimRehab2 MT 2200      </t>
  </si>
  <si>
    <t xml:space="preserve">Апарат для міостимуляції АУСЕ-01 (8-канальний)     </t>
  </si>
  <si>
    <t xml:space="preserve">Інфузійний насос BeneFusion uVP              </t>
  </si>
  <si>
    <t xml:space="preserve">Коагулятор медичний ендоскопічний електричний RO-ESU400          </t>
  </si>
  <si>
    <t xml:space="preserve">Візок мобільний регульваний по висоті для пересування системи з можливістю підключення трьох датчиків для Versana Active      </t>
  </si>
  <si>
    <t xml:space="preserve">Пральна машина </t>
  </si>
  <si>
    <t xml:space="preserve">Стелаж для бутильованої води 2*0,7*2м </t>
  </si>
  <si>
    <t>Стелаж для бутильованої води 1,2*0,7*2м</t>
  </si>
  <si>
    <t>Стелаж для продуктів харчування 2*1,0*2м</t>
  </si>
  <si>
    <t>Розкладний портативний пандус</t>
  </si>
  <si>
    <t xml:space="preserve">Лічильник х/в Ду 25(мактохолод)   </t>
  </si>
  <si>
    <t xml:space="preserve">Баня лабораторна водяна ВБ-4            </t>
  </si>
  <si>
    <t xml:space="preserve">Стілець б/у               </t>
  </si>
  <si>
    <t xml:space="preserve">Возик для прибирання б/у                                                                                                                                                                                </t>
  </si>
  <si>
    <t xml:space="preserve">Реабілітаційне ліжко б/у (10 шт)   </t>
  </si>
  <si>
    <t xml:space="preserve">Стілець б/у (21 шт)              </t>
  </si>
  <si>
    <t>Тумба приліжкова  (6 шт)</t>
  </si>
  <si>
    <t xml:space="preserve">Масажний столик складний                                             </t>
  </si>
  <si>
    <t xml:space="preserve">Блок живлення  </t>
  </si>
  <si>
    <t>Датчик температури дихальних шляхів Fisher &amp; Paykel</t>
  </si>
  <si>
    <t>Конектор центральної системи кисню</t>
  </si>
  <si>
    <t xml:space="preserve">Електрочайник Gallet BOU701R           </t>
  </si>
  <si>
    <t xml:space="preserve">Праска Philips 5000 Series DST5040/80            </t>
  </si>
  <si>
    <t xml:space="preserve">Дошка для прасування Eurogold 120*38см   </t>
  </si>
  <si>
    <t xml:space="preserve">Матрац б/у  (10 шт)         </t>
  </si>
  <si>
    <t>Диспенсер для рушників</t>
  </si>
  <si>
    <t>Каталка для миття лежачих</t>
  </si>
  <si>
    <t xml:space="preserve">Крісло для збору крові   </t>
  </si>
  <si>
    <t>Акумуляторний налобний ліхтарик Ledlenser H8R для хірург.операцій у разі відключення електрики</t>
  </si>
  <si>
    <t xml:space="preserve">Перетворювач 220-110V 450W    </t>
  </si>
  <si>
    <t xml:space="preserve">Камера для зволожувача   </t>
  </si>
  <si>
    <t xml:space="preserve">Диван 2-х місний     </t>
  </si>
  <si>
    <t xml:space="preserve">Стільці б/в (5 шт)         </t>
  </si>
  <si>
    <t xml:space="preserve">Кушетка медична б/в    </t>
  </si>
  <si>
    <t xml:space="preserve">Точка доступа Ubsgusts UnsFs AC LR (вай фай)   </t>
  </si>
  <si>
    <t xml:space="preserve">Камера Стерил.бокс"Стандарт"        </t>
  </si>
  <si>
    <t xml:space="preserve">Стіл інструментальний СІ-5               </t>
  </si>
  <si>
    <t xml:space="preserve">Тонометр внутр.тиску по Маклакову        </t>
  </si>
  <si>
    <t xml:space="preserve">Машина сушильна           </t>
  </si>
  <si>
    <t xml:space="preserve">Ультразвукові ножиці багаторазові HD-RC-D03         </t>
  </si>
  <si>
    <t xml:space="preserve">Дитяче лікарняне ліжко Buddy L-T    </t>
  </si>
  <si>
    <t xml:space="preserve">Ліжко для новонароджених NP-50 </t>
  </si>
  <si>
    <t>Електрод петля(до набору гістерорезектоскопу)  (8 шт)</t>
  </si>
  <si>
    <t xml:space="preserve">Тубус зовнішній(до набору гістерорезектоскопу)        </t>
  </si>
  <si>
    <t xml:space="preserve">Обтуратор зовнішній,з рухомою робочою частиною(набір до гістерорезектоскоп)  </t>
  </si>
  <si>
    <t xml:space="preserve">Тубус внутрішній(набір до гістерорезектоскопу)                                                                                                                                                          </t>
  </si>
  <si>
    <t xml:space="preserve">Обтуратор внутрішній,з рухомою робочою частиною(набір до гістерорезектоскопу)  </t>
  </si>
  <si>
    <t xml:space="preserve">Обтуратор оптичний(набір до гістерорезектоскопу)    </t>
  </si>
  <si>
    <t xml:space="preserve">Кабель високочастотний(набір до гістерорезектоскопу) </t>
  </si>
  <si>
    <t xml:space="preserve">Пральна машина вузька INDESIT OMTWSE 61051 WK EU   </t>
  </si>
  <si>
    <t xml:space="preserve">Мікрохвильова пч Edler ED-2068C   </t>
  </si>
  <si>
    <t xml:space="preserve">Ширма розділювач з лого 5-ти секційна          </t>
  </si>
  <si>
    <t xml:space="preserve">Тумба прикроватна (15 шт)                       </t>
  </si>
  <si>
    <t xml:space="preserve">Стелаж 6-ти секційний (в реєстратуру)            </t>
  </si>
  <si>
    <t xml:space="preserve">Софа офісна(помаранчева) (11 шт)             </t>
  </si>
  <si>
    <t xml:space="preserve">Блок живлення до системних IP телефонів (14 шт)         </t>
  </si>
  <si>
    <t xml:space="preserve">Простирадло 1-но спальне б/в (67 шт)                                                                                                                                                                           </t>
  </si>
  <si>
    <t xml:space="preserve">Простирадло 2-х спальне б/в  (113 шт)     </t>
  </si>
  <si>
    <t xml:space="preserve">Підковдра 1,2*2,0 б/в (8 шт)           </t>
  </si>
  <si>
    <t xml:space="preserve">Рушники кухонні б/в (30 шт)          </t>
  </si>
  <si>
    <t xml:space="preserve">Кушетка медична б/в (7 шт)              </t>
  </si>
  <si>
    <t xml:space="preserve">Стіл комп"ютерний      </t>
  </si>
  <si>
    <t xml:space="preserve">Бактерицидний рециркулятор    </t>
  </si>
  <si>
    <t xml:space="preserve">Телевізор бу       </t>
  </si>
  <si>
    <t xml:space="preserve">Акумуляторна батарея 108 045 45Ah/12V               </t>
  </si>
  <si>
    <t xml:space="preserve">Апарат бактерицидної дії УФІТ-СМ   </t>
  </si>
  <si>
    <t xml:space="preserve">Шафа для вентиляційної системи      </t>
  </si>
  <si>
    <t xml:space="preserve">Біполярний затискач                          </t>
  </si>
  <si>
    <t xml:space="preserve">Електрична шафа                                     </t>
  </si>
  <si>
    <t xml:space="preserve">Резервуар випаровувача                            </t>
  </si>
  <si>
    <t xml:space="preserve">Набір терморегулятора С2000                                                  </t>
  </si>
  <si>
    <t xml:space="preserve">Диван-ліжко (Сірий,198*84)   </t>
  </si>
  <si>
    <t xml:space="preserve">Ліжко 1900*900*450мм з матрацом (25 шт) </t>
  </si>
  <si>
    <t>Шафа для одягу 2000*1000*500мм (15 шт)</t>
  </si>
  <si>
    <t>Столик пеленальний з матрацом та полицями  (16 шт)</t>
  </si>
  <si>
    <t>Кухонний набір в палату 2700*600*850мм (в комплекті з мийками та змішувачами) (15 шт)</t>
  </si>
  <si>
    <t xml:space="preserve">Стіл кухонний 1000*600*750мм на квадратних ногах (15 шт)      </t>
  </si>
  <si>
    <t xml:space="preserve">Табурет на металевому каркасі  (30 шт)                                                                                                                                                                         </t>
  </si>
  <si>
    <t xml:space="preserve">Шафа для паперів            </t>
  </si>
  <si>
    <t xml:space="preserve">Вогнегасник порошковий ОП-6       </t>
  </si>
  <si>
    <r>
      <t>Директор КНП "ВМКЛ"ЦМтаД"</t>
    </r>
    <r>
      <rPr>
        <u/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</si>
</sst>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</numFmts>
  <fonts count="94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b/>
      <sz val="14"/>
      <color rgb="FFFF0000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i/>
      <sz val="14"/>
      <color theme="0"/>
      <name val="Times New Roman"/>
      <family val="1"/>
      <charset val="204"/>
    </font>
    <font>
      <b/>
      <u/>
      <sz val="16"/>
      <name val="Times New Roman"/>
      <family val="1"/>
      <charset val="204"/>
    </font>
    <font>
      <u/>
      <sz val="16"/>
      <name val="Times New Roman"/>
      <family val="1"/>
      <charset val="204"/>
    </font>
    <font>
      <u/>
      <sz val="16"/>
      <name val="Arial Cyr"/>
      <charset val="204"/>
    </font>
    <font>
      <i/>
      <sz val="16"/>
      <name val="Times New Roman"/>
      <family val="1"/>
      <charset val="204"/>
    </font>
    <font>
      <sz val="16"/>
      <name val="Arial Cyr"/>
      <charset val="204"/>
    </font>
    <font>
      <b/>
      <i/>
      <sz val="16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56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5" fillId="2" borderId="0" applyNumberFormat="0" applyBorder="0" applyAlignment="0" applyProtection="0"/>
    <xf numFmtId="0" fontId="2" fillId="2" borderId="0" applyNumberFormat="0" applyBorder="0" applyAlignment="0" applyProtection="0"/>
    <xf numFmtId="0" fontId="25" fillId="3" borderId="0" applyNumberFormat="0" applyBorder="0" applyAlignment="0" applyProtection="0"/>
    <xf numFmtId="0" fontId="2" fillId="3" borderId="0" applyNumberFormat="0" applyBorder="0" applyAlignment="0" applyProtection="0"/>
    <xf numFmtId="0" fontId="25" fillId="4" borderId="0" applyNumberFormat="0" applyBorder="0" applyAlignment="0" applyProtection="0"/>
    <xf numFmtId="0" fontId="2" fillId="4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9" borderId="0" applyNumberFormat="0" applyBorder="0" applyAlignment="0" applyProtection="0"/>
    <xf numFmtId="0" fontId="2" fillId="9" borderId="0" applyNumberFormat="0" applyBorder="0" applyAlignment="0" applyProtection="0"/>
    <xf numFmtId="0" fontId="25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6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9" borderId="0" applyNumberFormat="0" applyBorder="0" applyAlignment="0" applyProtection="0"/>
    <xf numFmtId="0" fontId="8" fillId="9" borderId="0" applyNumberFormat="0" applyBorder="0" applyAlignment="0" applyProtection="0"/>
    <xf numFmtId="0" fontId="26" fillId="10" borderId="0" applyNumberFormat="0" applyBorder="0" applyAlignment="0" applyProtection="0"/>
    <xf numFmtId="0" fontId="8" fillId="10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9" fillId="3" borderId="0" applyNumberFormat="0" applyBorder="0" applyAlignment="0" applyProtection="0"/>
    <xf numFmtId="0" fontId="11" fillId="20" borderId="1" applyNumberFormat="0" applyAlignment="0" applyProtection="0"/>
    <xf numFmtId="0" fontId="16" fillId="21" borderId="2" applyNumberFormat="0" applyAlignment="0" applyProtection="0"/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168" fontId="6" fillId="0" borderId="0" applyFont="0" applyFill="0" applyBorder="0" applyAlignment="0" applyProtection="0"/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0" fontId="20" fillId="0" borderId="0" applyNumberFormat="0" applyFill="0" applyBorder="0" applyAlignment="0" applyProtection="0"/>
    <xf numFmtId="171" fontId="28" fillId="0" borderId="0" applyAlignment="0">
      <alignment wrapText="1"/>
    </xf>
    <xf numFmtId="0" fontId="23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9" fillId="7" borderId="1" applyNumberFormat="0" applyAlignment="0" applyProtection="0"/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30" fillId="22" borderId="7">
      <alignment horizontal="left" vertical="center"/>
      <protection locked="0"/>
    </xf>
    <xf numFmtId="49" fontId="30" fillId="22" borderId="7">
      <alignment horizontal="left" vertical="center"/>
    </xf>
    <xf numFmtId="4" fontId="30" fillId="22" borderId="7">
      <alignment horizontal="right" vertical="center"/>
      <protection locked="0"/>
    </xf>
    <xf numFmtId="4" fontId="30" fillId="22" borderId="7">
      <alignment horizontal="right" vertical="center"/>
    </xf>
    <xf numFmtId="4" fontId="31" fillId="22" borderId="7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4" fillId="22" borderId="3">
      <alignment horizontal="righ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</xf>
    <xf numFmtId="49" fontId="27" fillId="22" borderId="3">
      <alignment horizontal="left" vertical="center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</xf>
    <xf numFmtId="4" fontId="27" fillId="22" borderId="3">
      <alignment horizontal="right" vertical="center"/>
    </xf>
    <xf numFmtId="4" fontId="31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" fontId="38" fillId="0" borderId="3">
      <alignment horizontal="right" vertical="center"/>
      <protection locked="0"/>
    </xf>
    <xf numFmtId="4" fontId="38" fillId="0" borderId="3">
      <alignment horizontal="right" vertical="center"/>
    </xf>
    <xf numFmtId="4" fontId="39" fillId="0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9" fontId="38" fillId="0" borderId="3">
      <alignment horizontal="left" vertical="center"/>
      <protection locked="0"/>
    </xf>
    <xf numFmtId="49" fontId="39" fillId="0" borderId="3">
      <alignment horizontal="left" vertical="center"/>
      <protection locked="0"/>
    </xf>
    <xf numFmtId="4" fontId="38" fillId="0" borderId="3">
      <alignment horizontal="right" vertical="center"/>
      <protection locked="0"/>
    </xf>
    <xf numFmtId="0" fontId="21" fillId="0" borderId="8" applyNumberFormat="0" applyFill="0" applyAlignment="0" applyProtection="0"/>
    <xf numFmtId="0" fontId="18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42" fillId="26" borderId="3">
      <alignment horizontal="right" vertical="center"/>
      <protection locked="0"/>
    </xf>
    <xf numFmtId="4" fontId="42" fillId="27" borderId="3">
      <alignment horizontal="right" vertical="center"/>
      <protection locked="0"/>
    </xf>
    <xf numFmtId="4" fontId="42" fillId="28" borderId="3">
      <alignment horizontal="right" vertical="center"/>
      <protection locked="0"/>
    </xf>
    <xf numFmtId="0" fontId="10" fillId="20" borderId="10" applyNumberFormat="0" applyAlignment="0" applyProtection="0"/>
    <xf numFmtId="49" fontId="27" fillId="0" borderId="3">
      <alignment horizontal="left" vertical="center" wrapText="1"/>
      <protection locked="0"/>
    </xf>
    <xf numFmtId="49" fontId="27" fillId="0" borderId="3">
      <alignment horizontal="left" vertical="center" wrapText="1"/>
      <protection locked="0"/>
    </xf>
    <xf numFmtId="0" fontId="17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6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17" borderId="0" applyNumberFormat="0" applyBorder="0" applyAlignment="0" applyProtection="0"/>
    <xf numFmtId="0" fontId="8" fillId="17" borderId="0" applyNumberFormat="0" applyBorder="0" applyAlignment="0" applyProtection="0"/>
    <xf numFmtId="0" fontId="26" fillId="18" borderId="0" applyNumberFormat="0" applyBorder="0" applyAlignment="0" applyProtection="0"/>
    <xf numFmtId="0" fontId="8" fillId="18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9" borderId="0" applyNumberFormat="0" applyBorder="0" applyAlignment="0" applyProtection="0"/>
    <xf numFmtId="0" fontId="8" fillId="19" borderId="0" applyNumberFormat="0" applyBorder="0" applyAlignment="0" applyProtection="0"/>
    <xf numFmtId="0" fontId="43" fillId="7" borderId="1" applyNumberFormat="0" applyAlignment="0" applyProtection="0"/>
    <xf numFmtId="0" fontId="9" fillId="7" borderId="1" applyNumberFormat="0" applyAlignment="0" applyProtection="0"/>
    <xf numFmtId="0" fontId="44" fillId="20" borderId="10" applyNumberFormat="0" applyAlignment="0" applyProtection="0"/>
    <xf numFmtId="0" fontId="10" fillId="20" borderId="10" applyNumberFormat="0" applyAlignment="0" applyProtection="0"/>
    <xf numFmtId="0" fontId="45" fillId="20" borderId="1" applyNumberFormat="0" applyAlignment="0" applyProtection="0"/>
    <xf numFmtId="0" fontId="11" fillId="20" borderId="1" applyNumberFormat="0" applyAlignment="0" applyProtection="0"/>
    <xf numFmtId="172" fontId="6" fillId="0" borderId="0" applyFont="0" applyFill="0" applyBorder="0" applyAlignment="0" applyProtection="0"/>
    <xf numFmtId="0" fontId="46" fillId="0" borderId="4" applyNumberFormat="0" applyFill="0" applyAlignment="0" applyProtection="0"/>
    <xf numFmtId="0" fontId="12" fillId="0" borderId="4" applyNumberFormat="0" applyFill="0" applyAlignment="0" applyProtection="0"/>
    <xf numFmtId="0" fontId="47" fillId="0" borderId="5" applyNumberFormat="0" applyFill="0" applyAlignment="0" applyProtection="0"/>
    <xf numFmtId="0" fontId="13" fillId="0" borderId="5" applyNumberFormat="0" applyFill="0" applyAlignment="0" applyProtection="0"/>
    <xf numFmtId="0" fontId="48" fillId="0" borderId="6" applyNumberFormat="0" applyFill="0" applyAlignment="0" applyProtection="0"/>
    <xf numFmtId="0" fontId="14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15" fillId="0" borderId="11" applyNumberFormat="0" applyFill="0" applyAlignment="0" applyProtection="0"/>
    <xf numFmtId="0" fontId="50" fillId="21" borderId="2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1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" fillId="0" borderId="0"/>
    <xf numFmtId="0" fontId="3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3" borderId="0" applyNumberFormat="0" applyBorder="0" applyAlignment="0" applyProtection="0"/>
    <xf numFmtId="0" fontId="19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4" fillId="25" borderId="9" applyNumberFormat="0" applyFont="0" applyAlignment="0" applyProtection="0"/>
    <xf numFmtId="0" fontId="6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8" applyNumberFormat="0" applyFill="0" applyAlignment="0" applyProtection="0"/>
    <xf numFmtId="0" fontId="21" fillId="0" borderId="8" applyNumberFormat="0" applyFill="0" applyAlignment="0" applyProtection="0"/>
    <xf numFmtId="0" fontId="2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3" fontId="58" fillId="0" borderId="0" applyFont="0" applyFill="0" applyBorder="0" applyAlignment="0" applyProtection="0"/>
    <xf numFmtId="174" fontId="5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59" fillId="4" borderId="0" applyNumberFormat="0" applyBorder="0" applyAlignment="0" applyProtection="0"/>
    <xf numFmtId="0" fontId="23" fillId="4" borderId="0" applyNumberFormat="0" applyBorder="0" applyAlignment="0" applyProtection="0"/>
    <xf numFmtId="176" fontId="60" fillId="22" borderId="12" applyFill="0" applyBorder="0">
      <alignment horizontal="center" vertical="center" wrapText="1"/>
      <protection locked="0"/>
    </xf>
    <xf numFmtId="171" fontId="61" fillId="0" borderId="0">
      <alignment wrapText="1"/>
    </xf>
    <xf numFmtId="171" fontId="28" fillId="0" borderId="0">
      <alignment wrapText="1"/>
    </xf>
    <xf numFmtId="0" fontId="6" fillId="0" borderId="0"/>
    <xf numFmtId="0" fontId="1" fillId="0" borderId="0"/>
    <xf numFmtId="0" fontId="84" fillId="0" borderId="0" applyNumberFormat="0" applyFill="0" applyBorder="0" applyAlignment="0" applyProtection="0"/>
  </cellStyleXfs>
  <cellXfs count="304">
    <xf numFmtId="0" fontId="0" fillId="0" borderId="0" xfId="0"/>
    <xf numFmtId="0" fontId="66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vertical="center"/>
    </xf>
    <xf numFmtId="170" fontId="66" fillId="0" borderId="0" xfId="0" applyNumberFormat="1" applyFont="1" applyFill="1" applyBorder="1" applyAlignment="1">
      <alignment horizontal="right" vertical="center" wrapText="1"/>
    </xf>
    <xf numFmtId="0" fontId="66" fillId="0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horizontal="center" vertical="center" wrapText="1"/>
    </xf>
    <xf numFmtId="179" fontId="64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left"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vertical="center"/>
    </xf>
    <xf numFmtId="0" fontId="75" fillId="0" borderId="3" xfId="0" applyFont="1" applyFill="1" applyBorder="1" applyAlignment="1">
      <alignment vertical="center" wrapText="1"/>
    </xf>
    <xf numFmtId="0" fontId="64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/>
    </xf>
    <xf numFmtId="0" fontId="64" fillId="0" borderId="3" xfId="0" quotePrefix="1" applyFont="1" applyFill="1" applyBorder="1" applyAlignment="1">
      <alignment horizontal="center" vertical="center"/>
    </xf>
    <xf numFmtId="179" fontId="64" fillId="0" borderId="0" xfId="0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 wrapText="1"/>
    </xf>
    <xf numFmtId="0" fontId="66" fillId="0" borderId="0" xfId="0" quotePrefix="1" applyFont="1" applyFill="1" applyBorder="1" applyAlignment="1">
      <alignment horizontal="center" vertical="center"/>
    </xf>
    <xf numFmtId="0" fontId="71" fillId="0" borderId="0" xfId="0" applyFont="1" applyFill="1" applyBorder="1" applyAlignment="1">
      <alignment vertical="center"/>
    </xf>
    <xf numFmtId="178" fontId="66" fillId="0" borderId="0" xfId="0" applyNumberFormat="1" applyFont="1" applyFill="1" applyBorder="1" applyAlignment="1">
      <alignment horizontal="center" vertical="center" wrapText="1"/>
    </xf>
    <xf numFmtId="170" fontId="64" fillId="0" borderId="0" xfId="0" applyNumberFormat="1" applyFont="1" applyFill="1" applyBorder="1" applyAlignment="1">
      <alignment vertical="center"/>
    </xf>
    <xf numFmtId="179" fontId="64" fillId="0" borderId="0" xfId="0" applyNumberFormat="1" applyFont="1" applyFill="1" applyBorder="1" applyAlignment="1">
      <alignment horizontal="center" vertical="center"/>
    </xf>
    <xf numFmtId="178" fontId="64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left" vertical="center"/>
    </xf>
    <xf numFmtId="49" fontId="64" fillId="0" borderId="3" xfId="0" applyNumberFormat="1" applyFont="1" applyFill="1" applyBorder="1" applyAlignment="1">
      <alignment horizontal="center"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 wrapText="1"/>
    </xf>
    <xf numFmtId="178" fontId="72" fillId="0" borderId="3" xfId="0" applyNumberFormat="1" applyFont="1" applyFill="1" applyBorder="1" applyAlignment="1">
      <alignment horizontal="center" vertical="center"/>
    </xf>
    <xf numFmtId="49" fontId="74" fillId="0" borderId="3" xfId="0" applyNumberFormat="1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/>
    </xf>
    <xf numFmtId="0" fontId="76" fillId="0" borderId="3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vertical="center"/>
    </xf>
    <xf numFmtId="49" fontId="75" fillId="0" borderId="3" xfId="0" applyNumberFormat="1" applyFont="1" applyFill="1" applyBorder="1" applyAlignment="1">
      <alignment horizontal="center" vertical="center"/>
    </xf>
    <xf numFmtId="178" fontId="65" fillId="0" borderId="3" xfId="0" applyNumberFormat="1" applyFont="1" applyFill="1" applyBorder="1" applyAlignment="1">
      <alignment horizontal="center" vertical="center" wrapText="1"/>
    </xf>
    <xf numFmtId="178" fontId="66" fillId="0" borderId="0" xfId="0" applyNumberFormat="1" applyFont="1" applyFill="1" applyBorder="1" applyAlignment="1">
      <alignment horizontal="center"/>
    </xf>
    <xf numFmtId="179" fontId="66" fillId="0" borderId="0" xfId="0" applyNumberFormat="1" applyFont="1" applyFill="1" applyBorder="1" applyAlignment="1">
      <alignment horizontal="center"/>
    </xf>
    <xf numFmtId="49" fontId="73" fillId="0" borderId="3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vertical="center"/>
    </xf>
    <xf numFmtId="0" fontId="73" fillId="0" borderId="3" xfId="0" applyFont="1" applyFill="1" applyBorder="1" applyAlignment="1">
      <alignment horizontal="center" vertical="center"/>
    </xf>
    <xf numFmtId="178" fontId="78" fillId="0" borderId="3" xfId="0" applyNumberFormat="1" applyFont="1" applyFill="1" applyBorder="1" applyAlignment="1">
      <alignment horizontal="center" vertical="center"/>
    </xf>
    <xf numFmtId="0" fontId="73" fillId="0" borderId="3" xfId="0" applyFont="1" applyFill="1" applyBorder="1" applyAlignment="1">
      <alignment horizontal="left" vertical="center" wrapText="1"/>
    </xf>
    <xf numFmtId="0" fontId="76" fillId="0" borderId="15" xfId="0" applyFont="1" applyFill="1" applyBorder="1" applyAlignment="1">
      <alignment vertical="center"/>
    </xf>
    <xf numFmtId="0" fontId="76" fillId="0" borderId="3" xfId="0" applyFont="1" applyFill="1" applyBorder="1" applyAlignment="1">
      <alignment vertical="center" wrapText="1"/>
    </xf>
    <xf numFmtId="0" fontId="73" fillId="0" borderId="3" xfId="0" applyFont="1" applyFill="1" applyBorder="1" applyAlignment="1">
      <alignment vertical="center" wrapText="1"/>
    </xf>
    <xf numFmtId="0" fontId="73" fillId="0" borderId="3" xfId="0" applyFont="1" applyFill="1" applyBorder="1" applyAlignment="1">
      <alignment horizontal="center" vertical="center" wrapText="1"/>
    </xf>
    <xf numFmtId="0" fontId="73" fillId="0" borderId="3" xfId="0" applyFont="1" applyFill="1" applyBorder="1" applyAlignment="1">
      <alignment horizontal="left" vertical="center"/>
    </xf>
    <xf numFmtId="0" fontId="74" fillId="0" borderId="3" xfId="0" applyFont="1" applyFill="1" applyBorder="1" applyAlignment="1">
      <alignment horizontal="left" vertical="center"/>
    </xf>
    <xf numFmtId="0" fontId="74" fillId="0" borderId="3" xfId="0" applyFont="1" applyFill="1" applyBorder="1" applyAlignment="1">
      <alignment horizontal="left" vertical="center" wrapText="1"/>
    </xf>
    <xf numFmtId="0" fontId="72" fillId="0" borderId="3" xfId="0" applyFont="1" applyFill="1" applyBorder="1" applyAlignment="1">
      <alignment vertical="center" wrapText="1"/>
    </xf>
    <xf numFmtId="0" fontId="72" fillId="0" borderId="3" xfId="0" applyFont="1" applyFill="1" applyBorder="1" applyAlignment="1">
      <alignment horizontal="center" vertical="center" wrapText="1"/>
    </xf>
    <xf numFmtId="0" fontId="76" fillId="0" borderId="3" xfId="0" applyFont="1" applyFill="1" applyBorder="1" applyAlignment="1">
      <alignment vertical="center"/>
    </xf>
    <xf numFmtId="49" fontId="72" fillId="0" borderId="3" xfId="0" applyNumberFormat="1" applyFont="1" applyFill="1" applyBorder="1" applyAlignment="1">
      <alignment horizontal="center" vertical="center"/>
    </xf>
    <xf numFmtId="0" fontId="72" fillId="0" borderId="3" xfId="0" applyFont="1" applyFill="1" applyBorder="1" applyAlignment="1">
      <alignment horizontal="left" vertical="center" wrapText="1"/>
    </xf>
    <xf numFmtId="49" fontId="66" fillId="0" borderId="3" xfId="0" applyNumberFormat="1" applyFont="1" applyFill="1" applyBorder="1" applyAlignment="1">
      <alignment horizontal="center" vertical="center"/>
    </xf>
    <xf numFmtId="49" fontId="65" fillId="0" borderId="3" xfId="0" applyNumberFormat="1" applyFont="1" applyFill="1" applyBorder="1" applyAlignment="1">
      <alignment horizontal="center" vertical="center"/>
    </xf>
    <xf numFmtId="0" fontId="73" fillId="0" borderId="3" xfId="0" applyFont="1" applyFill="1" applyBorder="1" applyAlignment="1">
      <alignment vertical="center"/>
    </xf>
    <xf numFmtId="0" fontId="74" fillId="0" borderId="3" xfId="0" applyFont="1" applyFill="1" applyBorder="1" applyAlignment="1">
      <alignment vertical="center"/>
    </xf>
    <xf numFmtId="0" fontId="74" fillId="0" borderId="3" xfId="0" applyFont="1" applyFill="1" applyBorder="1" applyAlignment="1">
      <alignment horizontal="center" vertical="center" wrapText="1"/>
    </xf>
    <xf numFmtId="0" fontId="76" fillId="0" borderId="3" xfId="0" applyFont="1" applyFill="1" applyBorder="1" applyAlignment="1">
      <alignment horizontal="left" vertical="center"/>
    </xf>
    <xf numFmtId="0" fontId="66" fillId="0" borderId="3" xfId="0" applyFont="1" applyFill="1" applyBorder="1" applyAlignment="1">
      <alignment horizontal="left" vertical="center" wrapText="1"/>
    </xf>
    <xf numFmtId="170" fontId="66" fillId="0" borderId="3" xfId="0" applyNumberFormat="1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center" wrapText="1"/>
    </xf>
    <xf numFmtId="0" fontId="64" fillId="0" borderId="0" xfId="0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vertical="center"/>
    </xf>
    <xf numFmtId="180" fontId="66" fillId="0" borderId="0" xfId="0" applyNumberFormat="1" applyFont="1" applyFill="1" applyBorder="1" applyAlignment="1">
      <alignment vertical="center"/>
    </xf>
    <xf numFmtId="0" fontId="23" fillId="0" borderId="0" xfId="349" applyFill="1" applyBorder="1" applyAlignment="1">
      <alignment vertical="center"/>
    </xf>
    <xf numFmtId="0" fontId="72" fillId="0" borderId="0" xfId="0" applyFont="1" applyFill="1" applyBorder="1" applyAlignment="1">
      <alignment vertical="center"/>
    </xf>
    <xf numFmtId="180" fontId="64" fillId="0" borderId="0" xfId="0" applyNumberFormat="1" applyFont="1" applyFill="1" applyBorder="1" applyAlignment="1">
      <alignment vertical="center"/>
    </xf>
    <xf numFmtId="0" fontId="72" fillId="0" borderId="0" xfId="0" applyFont="1" applyFill="1" applyBorder="1" applyAlignment="1">
      <alignment horizontal="center" vertical="center"/>
    </xf>
    <xf numFmtId="0" fontId="64" fillId="0" borderId="0" xfId="0" applyNumberFormat="1" applyFont="1" applyFill="1" applyBorder="1" applyAlignment="1">
      <alignment vertical="center"/>
    </xf>
    <xf numFmtId="0" fontId="72" fillId="0" borderId="0" xfId="0" applyNumberFormat="1" applyFont="1" applyFill="1" applyBorder="1" applyAlignment="1">
      <alignment vertical="center"/>
    </xf>
    <xf numFmtId="178" fontId="64" fillId="0" borderId="0" xfId="0" applyNumberFormat="1" applyFont="1" applyFill="1" applyBorder="1" applyAlignment="1">
      <alignment vertical="center"/>
    </xf>
    <xf numFmtId="178" fontId="67" fillId="0" borderId="3" xfId="0" applyNumberFormat="1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 wrapText="1" shrinkToFit="1"/>
    </xf>
    <xf numFmtId="0" fontId="72" fillId="0" borderId="3" xfId="0" quotePrefix="1" applyFont="1" applyFill="1" applyBorder="1" applyAlignment="1">
      <alignment horizontal="center" vertical="center"/>
    </xf>
    <xf numFmtId="170" fontId="66" fillId="0" borderId="0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178" fontId="75" fillId="0" borderId="0" xfId="0" applyNumberFormat="1" applyFont="1" applyFill="1" applyBorder="1" applyAlignment="1">
      <alignment vertical="center"/>
    </xf>
    <xf numFmtId="0" fontId="75" fillId="0" borderId="0" xfId="0" applyFont="1" applyFill="1" applyBorder="1" applyAlignment="1">
      <alignment vertical="center"/>
    </xf>
    <xf numFmtId="179" fontId="77" fillId="0" borderId="0" xfId="0" applyNumberFormat="1" applyFont="1" applyFill="1" applyBorder="1" applyAlignment="1">
      <alignment vertical="center"/>
    </xf>
    <xf numFmtId="170" fontId="66" fillId="0" borderId="3" xfId="0" applyNumberFormat="1" applyFont="1" applyFill="1" applyBorder="1" applyAlignment="1">
      <alignment vertical="center" wrapText="1"/>
    </xf>
    <xf numFmtId="178" fontId="66" fillId="0" borderId="3" xfId="0" applyNumberFormat="1" applyFont="1" applyFill="1" applyBorder="1" applyAlignment="1">
      <alignment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  <xf numFmtId="178" fontId="75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 shrinkToFit="1"/>
    </xf>
    <xf numFmtId="0" fontId="67" fillId="0" borderId="3" xfId="182" applyFont="1" applyFill="1" applyBorder="1" applyAlignment="1">
      <alignment vertical="center" wrapText="1"/>
      <protection locked="0"/>
    </xf>
    <xf numFmtId="0" fontId="67" fillId="0" borderId="3" xfId="0" applyFont="1" applyFill="1" applyBorder="1" applyAlignment="1">
      <alignment horizontal="center" vertical="center"/>
    </xf>
    <xf numFmtId="169" fontId="63" fillId="0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horizontal="lef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80" fillId="0" borderId="3" xfId="0" applyNumberFormat="1" applyFont="1" applyFill="1" applyBorder="1" applyAlignment="1">
      <alignment horizontal="center" vertical="center" wrapText="1"/>
    </xf>
    <xf numFmtId="0" fontId="63" fillId="0" borderId="3" xfId="182" applyFont="1" applyFill="1" applyBorder="1" applyAlignment="1">
      <alignment vertical="center" wrapText="1"/>
      <protection locked="0"/>
    </xf>
    <xf numFmtId="178" fontId="81" fillId="0" borderId="3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170" fontId="63" fillId="0" borderId="3" xfId="0" applyNumberFormat="1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left" vertical="center" wrapText="1"/>
    </xf>
    <xf numFmtId="170" fontId="67" fillId="0" borderId="3" xfId="0" applyNumberFormat="1" applyFont="1" applyFill="1" applyBorder="1" applyAlignment="1">
      <alignment horizontal="center" vertical="center" wrapText="1"/>
    </xf>
    <xf numFmtId="0" fontId="67" fillId="0" borderId="3" xfId="245" applyFont="1" applyFill="1" applyBorder="1" applyAlignment="1">
      <alignment horizontal="left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7" fillId="0" borderId="3" xfId="0" applyFont="1" applyFill="1" applyBorder="1" applyAlignment="1" applyProtection="1">
      <alignment horizontal="left" vertical="center" wrapText="1"/>
      <protection locked="0"/>
    </xf>
    <xf numFmtId="49" fontId="67" fillId="0" borderId="3" xfId="0" applyNumberFormat="1" applyFont="1" applyFill="1" applyBorder="1" applyAlignment="1">
      <alignment horizontal="center" vertical="center"/>
    </xf>
    <xf numFmtId="177" fontId="67" fillId="0" borderId="3" xfId="0" applyNumberFormat="1" applyFont="1" applyFill="1" applyBorder="1" applyAlignment="1">
      <alignment horizontal="right" vertical="center" wrapText="1"/>
    </xf>
    <xf numFmtId="177" fontId="67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horizontal="center" vertical="center"/>
    </xf>
    <xf numFmtId="177" fontId="63" fillId="0" borderId="3" xfId="0" applyNumberFormat="1" applyFont="1" applyFill="1" applyBorder="1" applyAlignment="1">
      <alignment horizontal="right" vertical="center" wrapText="1"/>
    </xf>
    <xf numFmtId="177" fontId="63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vertical="center"/>
    </xf>
    <xf numFmtId="0" fontId="82" fillId="0" borderId="0" xfId="0" applyFont="1" applyFill="1" applyBorder="1" applyAlignment="1" applyProtection="1">
      <alignment horizontal="left" vertical="center" wrapText="1"/>
      <protection locked="0"/>
    </xf>
    <xf numFmtId="49" fontId="82" fillId="0" borderId="0" xfId="0" applyNumberFormat="1" applyFont="1" applyFill="1" applyBorder="1" applyAlignment="1">
      <alignment horizontal="center" vertical="center"/>
    </xf>
    <xf numFmtId="177" fontId="82" fillId="0" borderId="0" xfId="0" applyNumberFormat="1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right" vertical="center" wrapText="1"/>
    </xf>
    <xf numFmtId="0" fontId="83" fillId="0" borderId="0" xfId="182" applyFont="1" applyFill="1" applyBorder="1" applyAlignment="1">
      <alignment vertical="center" wrapText="1"/>
      <protection locked="0"/>
    </xf>
    <xf numFmtId="0" fontId="83" fillId="0" borderId="0" xfId="0" applyFont="1" applyFill="1" applyBorder="1" applyAlignment="1">
      <alignment horizontal="center" vertical="center"/>
    </xf>
    <xf numFmtId="177" fontId="83" fillId="0" borderId="0" xfId="0" applyNumberFormat="1" applyFont="1" applyFill="1" applyBorder="1" applyAlignment="1">
      <alignment horizontal="center" vertical="center" wrapText="1"/>
    </xf>
    <xf numFmtId="170" fontId="63" fillId="0" borderId="3" xfId="0" applyNumberFormat="1" applyFont="1" applyFill="1" applyBorder="1" applyAlignment="1">
      <alignment horizontal="right" vertical="center" wrapText="1"/>
    </xf>
    <xf numFmtId="0" fontId="82" fillId="0" borderId="0" xfId="182" applyFont="1" applyFill="1" applyBorder="1" applyAlignment="1">
      <alignment vertical="center" wrapText="1"/>
      <protection locked="0"/>
    </xf>
    <xf numFmtId="0" fontId="82" fillId="0" borderId="0" xfId="0" applyFont="1" applyFill="1" applyBorder="1" applyAlignment="1">
      <alignment horizontal="center" vertical="center"/>
    </xf>
    <xf numFmtId="178" fontId="82" fillId="0" borderId="0" xfId="0" applyNumberFormat="1" applyFont="1" applyFill="1" applyBorder="1" applyAlignment="1">
      <alignment horizontal="center" vertical="center" wrapText="1"/>
    </xf>
    <xf numFmtId="178" fontId="83" fillId="0" borderId="0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horizontal="center" vertical="center"/>
    </xf>
    <xf numFmtId="0" fontId="67" fillId="0" borderId="0" xfId="0" applyFont="1" applyFill="1" applyBorder="1" applyAlignment="1" applyProtection="1">
      <alignment horizontal="left" vertical="center"/>
      <protection locked="0"/>
    </xf>
    <xf numFmtId="170" fontId="67" fillId="0" borderId="0" xfId="0" applyNumberFormat="1" applyFont="1" applyFill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center" vertical="center" wrapText="1"/>
    </xf>
    <xf numFmtId="0" fontId="63" fillId="0" borderId="0" xfId="0" quotePrefix="1" applyFont="1" applyFill="1" applyBorder="1" applyAlignment="1">
      <alignment horizontal="center" vertical="center"/>
    </xf>
    <xf numFmtId="170" fontId="69" fillId="0" borderId="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 wrapText="1"/>
    </xf>
    <xf numFmtId="179" fontId="75" fillId="0" borderId="0" xfId="0" applyNumberFormat="1" applyFont="1" applyFill="1" applyBorder="1" applyAlignment="1">
      <alignment vertical="center"/>
    </xf>
    <xf numFmtId="169" fontId="64" fillId="0" borderId="3" xfId="0" applyNumberFormat="1" applyFont="1" applyFill="1" applyBorder="1" applyAlignment="1">
      <alignment horizontal="right" vertical="center"/>
    </xf>
    <xf numFmtId="0" fontId="66" fillId="0" borderId="0" xfId="0" applyNumberFormat="1" applyFont="1" applyFill="1" applyBorder="1" applyAlignment="1">
      <alignment vertical="center"/>
    </xf>
    <xf numFmtId="178" fontId="66" fillId="0" borderId="0" xfId="0" applyNumberFormat="1" applyFont="1" applyFill="1" applyBorder="1" applyAlignment="1">
      <alignment vertical="center" wrapText="1"/>
    </xf>
    <xf numFmtId="179" fontId="66" fillId="0" borderId="0" xfId="0" applyNumberFormat="1" applyFont="1" applyFill="1" applyBorder="1" applyAlignment="1"/>
    <xf numFmtId="178" fontId="66" fillId="0" borderId="0" xfId="0" applyNumberFormat="1" applyFont="1" applyFill="1" applyBorder="1" applyAlignment="1"/>
    <xf numFmtId="179" fontId="85" fillId="0" borderId="0" xfId="0" applyNumberFormat="1" applyFont="1" applyFill="1" applyBorder="1" applyAlignment="1">
      <alignment vertical="center"/>
    </xf>
    <xf numFmtId="179" fontId="66" fillId="0" borderId="0" xfId="0" applyNumberFormat="1" applyFont="1" applyFill="1" applyBorder="1" applyAlignment="1">
      <alignment horizontal="center" vertical="center"/>
    </xf>
    <xf numFmtId="178" fontId="75" fillId="0" borderId="3" xfId="0" applyNumberFormat="1" applyFont="1" applyFill="1" applyBorder="1" applyAlignment="1">
      <alignment horizontal="center" vertical="center" wrapText="1"/>
    </xf>
    <xf numFmtId="179" fontId="72" fillId="0" borderId="0" xfId="0" applyNumberFormat="1" applyFont="1" applyFill="1" applyBorder="1" applyAlignment="1">
      <alignment vertical="center"/>
    </xf>
    <xf numFmtId="178" fontId="72" fillId="0" borderId="0" xfId="0" applyNumberFormat="1" applyFont="1" applyFill="1" applyBorder="1" applyAlignment="1">
      <alignment vertical="center"/>
    </xf>
    <xf numFmtId="178" fontId="83" fillId="0" borderId="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right" vertical="center"/>
    </xf>
    <xf numFmtId="178" fontId="79" fillId="0" borderId="3" xfId="0" applyNumberFormat="1" applyFont="1" applyFill="1" applyBorder="1" applyAlignment="1">
      <alignment vertical="center"/>
    </xf>
    <xf numFmtId="0" fontId="75" fillId="0" borderId="3" xfId="355" applyFont="1" applyFill="1" applyBorder="1" applyAlignment="1">
      <alignment vertical="center" wrapText="1"/>
    </xf>
    <xf numFmtId="178" fontId="63" fillId="0" borderId="3" xfId="0" applyNumberFormat="1" applyFont="1" applyFill="1" applyBorder="1" applyAlignment="1">
      <alignment horizontal="right" vertical="center" wrapText="1"/>
    </xf>
    <xf numFmtId="179" fontId="65" fillId="0" borderId="0" xfId="0" applyNumberFormat="1" applyFont="1" applyFill="1" applyBorder="1" applyAlignment="1">
      <alignment vertical="center"/>
    </xf>
    <xf numFmtId="0" fontId="65" fillId="0" borderId="0" xfId="0" applyFont="1" applyFill="1" applyBorder="1" applyAlignment="1">
      <alignment vertical="center"/>
    </xf>
    <xf numFmtId="0" fontId="64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/>
    </xf>
    <xf numFmtId="170" fontId="67" fillId="0" borderId="15" xfId="0" applyNumberFormat="1" applyFont="1" applyFill="1" applyBorder="1" applyAlignment="1">
      <alignment horizontal="center" vertical="center" wrapText="1"/>
    </xf>
    <xf numFmtId="178" fontId="63" fillId="0" borderId="0" xfId="0" applyNumberFormat="1" applyFont="1" applyFill="1" applyBorder="1" applyAlignment="1">
      <alignment horizontal="center" vertical="center" wrapText="1"/>
    </xf>
    <xf numFmtId="170" fontId="83" fillId="0" borderId="3" xfId="0" applyNumberFormat="1" applyFont="1" applyFill="1" applyBorder="1" applyAlignment="1">
      <alignment horizontal="right" vertical="center" wrapText="1"/>
    </xf>
    <xf numFmtId="170" fontId="67" fillId="0" borderId="0" xfId="0" applyNumberFormat="1" applyFont="1" applyFill="1" applyBorder="1" applyAlignment="1">
      <alignment horizontal="center" vertical="center" wrapText="1"/>
    </xf>
    <xf numFmtId="0" fontId="74" fillId="0" borderId="1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vertical="center" wrapText="1"/>
    </xf>
    <xf numFmtId="178" fontId="86" fillId="0" borderId="3" xfId="0" applyNumberFormat="1" applyFont="1" applyFill="1" applyBorder="1" applyAlignment="1">
      <alignment horizontal="center" vertical="center"/>
    </xf>
    <xf numFmtId="178" fontId="87" fillId="0" borderId="3" xfId="0" applyNumberFormat="1" applyFont="1" applyFill="1" applyBorder="1" applyAlignment="1">
      <alignment horizontal="center" vertical="center"/>
    </xf>
    <xf numFmtId="0" fontId="65" fillId="0" borderId="0" xfId="0" applyFont="1" applyFill="1" applyBorder="1" applyAlignment="1">
      <alignment horizontal="center" vertical="center"/>
    </xf>
    <xf numFmtId="178" fontId="79" fillId="0" borderId="3" xfId="0" applyNumberFormat="1" applyFont="1" applyFill="1" applyBorder="1" applyAlignment="1">
      <alignment horizontal="center" vertical="center"/>
    </xf>
    <xf numFmtId="0" fontId="66" fillId="0" borderId="3" xfId="0" applyFont="1" applyFill="1" applyBorder="1" applyAlignment="1">
      <alignment vertical="center" wrapText="1"/>
    </xf>
    <xf numFmtId="0" fontId="66" fillId="0" borderId="13" xfId="0" applyFont="1" applyFill="1" applyBorder="1" applyAlignment="1">
      <alignment horizontal="center" vertical="center"/>
    </xf>
    <xf numFmtId="178" fontId="64" fillId="0" borderId="3" xfId="0" applyNumberFormat="1" applyFont="1" applyFill="1" applyBorder="1" applyAlignment="1">
      <alignment vertical="center"/>
    </xf>
    <xf numFmtId="178" fontId="78" fillId="0" borderId="3" xfId="0" applyNumberFormat="1" applyFont="1" applyFill="1" applyBorder="1" applyAlignment="1">
      <alignment vertical="center"/>
    </xf>
    <xf numFmtId="0" fontId="67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8" fillId="0" borderId="3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 wrapText="1"/>
    </xf>
    <xf numFmtId="0" fontId="64" fillId="0" borderId="0" xfId="0" applyFont="1" applyFill="1" applyBorder="1" applyAlignment="1">
      <alignment horizontal="center" vertical="center" wrapText="1"/>
    </xf>
    <xf numFmtId="0" fontId="66" fillId="0" borderId="15" xfId="0" applyFont="1" applyFill="1" applyBorder="1" applyAlignment="1">
      <alignment vertical="center"/>
    </xf>
    <xf numFmtId="0" fontId="66" fillId="0" borderId="15" xfId="0" applyFont="1" applyFill="1" applyBorder="1" applyAlignment="1">
      <alignment vertical="center" wrapText="1"/>
    </xf>
    <xf numFmtId="0" fontId="75" fillId="0" borderId="15" xfId="0" applyFont="1" applyFill="1" applyBorder="1" applyAlignment="1">
      <alignment vertical="center" wrapText="1"/>
    </xf>
    <xf numFmtId="0" fontId="70" fillId="0" borderId="0" xfId="0" applyFont="1" applyFill="1" applyBorder="1" applyAlignment="1">
      <alignment horizontal="center" wrapText="1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170" fontId="63" fillId="0" borderId="13" xfId="0" applyNumberFormat="1" applyFont="1" applyFill="1" applyBorder="1" applyAlignment="1">
      <alignment horizontal="center" vertical="center" wrapText="1"/>
    </xf>
    <xf numFmtId="170" fontId="63" fillId="0" borderId="13" xfId="0" quotePrefix="1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 applyProtection="1">
      <alignment horizontal="center" vertical="center"/>
      <protection locked="0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4" fillId="0" borderId="13" xfId="0" applyFont="1" applyFill="1" applyBorder="1" applyAlignment="1">
      <alignment horizontal="center"/>
    </xf>
    <xf numFmtId="0" fontId="67" fillId="0" borderId="3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 wrapText="1"/>
    </xf>
    <xf numFmtId="0" fontId="71" fillId="0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left" vertical="center" wrapText="1"/>
    </xf>
    <xf numFmtId="178" fontId="73" fillId="0" borderId="3" xfId="0" applyNumberFormat="1" applyFont="1" applyFill="1" applyBorder="1" applyAlignment="1">
      <alignment horizontal="center" vertical="center" wrapText="1"/>
    </xf>
    <xf numFmtId="0" fontId="83" fillId="29" borderId="0" xfId="0" applyFont="1" applyFill="1" applyBorder="1" applyAlignment="1">
      <alignment horizontal="center" vertical="center"/>
    </xf>
    <xf numFmtId="0" fontId="83" fillId="29" borderId="0" xfId="0" applyFont="1" applyFill="1" applyBorder="1" applyAlignment="1">
      <alignment horizontal="left" vertical="center"/>
    </xf>
    <xf numFmtId="0" fontId="83" fillId="29" borderId="0" xfId="0" applyFont="1" applyFill="1" applyBorder="1" applyAlignment="1">
      <alignment horizontal="right" vertical="center"/>
    </xf>
    <xf numFmtId="0" fontId="83" fillId="29" borderId="0" xfId="0" applyFont="1" applyFill="1" applyBorder="1" applyAlignment="1">
      <alignment vertical="center"/>
    </xf>
    <xf numFmtId="178" fontId="73" fillId="29" borderId="0" xfId="0" applyNumberFormat="1" applyFont="1" applyFill="1" applyBorder="1" applyAlignment="1">
      <alignment horizontal="center" vertical="center" wrapText="1"/>
    </xf>
    <xf numFmtId="0" fontId="83" fillId="29" borderId="0" xfId="0" applyFont="1" applyFill="1" applyAlignment="1">
      <alignment vertical="center"/>
    </xf>
    <xf numFmtId="0" fontId="83" fillId="29" borderId="0" xfId="0" applyFont="1" applyFill="1" applyAlignment="1">
      <alignment horizontal="right" vertical="center"/>
    </xf>
    <xf numFmtId="0" fontId="82" fillId="29" borderId="0" xfId="0" applyFont="1" applyFill="1" applyBorder="1" applyAlignment="1">
      <alignment horizontal="left" vertical="center"/>
    </xf>
    <xf numFmtId="0" fontId="82" fillId="29" borderId="0" xfId="0" applyFont="1" applyFill="1" applyBorder="1" applyAlignment="1">
      <alignment horizontal="center" vertical="center"/>
    </xf>
    <xf numFmtId="0" fontId="83" fillId="29" borderId="3" xfId="0" applyFont="1" applyFill="1" applyBorder="1" applyAlignment="1">
      <alignment horizontal="center" vertical="center" wrapText="1"/>
    </xf>
    <xf numFmtId="178" fontId="75" fillId="29" borderId="3" xfId="0" applyNumberFormat="1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horizontal="center" vertical="center"/>
    </xf>
    <xf numFmtId="3" fontId="75" fillId="29" borderId="3" xfId="0" applyNumberFormat="1" applyFont="1" applyFill="1" applyBorder="1" applyAlignment="1">
      <alignment horizontal="center" vertical="center" wrapText="1"/>
    </xf>
    <xf numFmtId="0" fontId="82" fillId="29" borderId="3" xfId="0" applyFont="1" applyFill="1" applyBorder="1" applyAlignment="1">
      <alignment horizontal="center" vertical="center" wrapText="1"/>
    </xf>
    <xf numFmtId="0" fontId="73" fillId="29" borderId="15" xfId="0" applyFont="1" applyFill="1" applyBorder="1" applyAlignment="1">
      <alignment horizontal="left" vertical="center" wrapText="1"/>
    </xf>
    <xf numFmtId="0" fontId="73" fillId="29" borderId="14" xfId="0" applyFont="1" applyFill="1" applyBorder="1" applyAlignment="1">
      <alignment horizontal="left" vertical="center" wrapText="1"/>
    </xf>
    <xf numFmtId="0" fontId="73" fillId="29" borderId="16" xfId="0" applyFont="1" applyFill="1" applyBorder="1" applyAlignment="1">
      <alignment horizontal="left" vertical="center" wrapText="1"/>
    </xf>
    <xf numFmtId="0" fontId="82" fillId="29" borderId="3" xfId="0" applyFont="1" applyFill="1" applyBorder="1" applyAlignment="1">
      <alignment horizontal="center" vertical="center"/>
    </xf>
    <xf numFmtId="170" fontId="73" fillId="29" borderId="3" xfId="0" applyNumberFormat="1" applyFont="1" applyFill="1" applyBorder="1" applyAlignment="1">
      <alignment horizontal="center" vertical="center" wrapText="1"/>
    </xf>
    <xf numFmtId="170" fontId="82" fillId="29" borderId="3" xfId="0" applyNumberFormat="1" applyFont="1" applyFill="1" applyBorder="1" applyAlignment="1">
      <alignment horizontal="center" vertical="center"/>
    </xf>
    <xf numFmtId="0" fontId="82" fillId="29" borderId="0" xfId="0" applyFont="1" applyFill="1" applyAlignment="1">
      <alignment vertical="center"/>
    </xf>
    <xf numFmtId="0" fontId="75" fillId="29" borderId="15" xfId="355" applyFont="1" applyFill="1" applyBorder="1" applyAlignment="1">
      <alignment horizontal="left" vertical="center" wrapText="1"/>
    </xf>
    <xf numFmtId="0" fontId="75" fillId="29" borderId="14" xfId="355" applyFont="1" applyFill="1" applyBorder="1" applyAlignment="1">
      <alignment horizontal="left" vertical="center" wrapText="1"/>
    </xf>
    <xf numFmtId="0" fontId="75" fillId="29" borderId="16" xfId="355" applyFont="1" applyFill="1" applyBorder="1" applyAlignment="1">
      <alignment horizontal="left" vertical="center" wrapText="1"/>
    </xf>
    <xf numFmtId="170" fontId="75" fillId="29" borderId="3" xfId="0" applyNumberFormat="1" applyFont="1" applyFill="1" applyBorder="1" applyAlignment="1">
      <alignment horizontal="center" vertical="center" wrapText="1"/>
    </xf>
    <xf numFmtId="170" fontId="83" fillId="29" borderId="3" xfId="0" applyNumberFormat="1" applyFont="1" applyFill="1" applyBorder="1" applyAlignment="1">
      <alignment horizontal="center" vertical="center"/>
    </xf>
    <xf numFmtId="0" fontId="73" fillId="29" borderId="15" xfId="0" applyFont="1" applyFill="1" applyBorder="1" applyAlignment="1">
      <alignment vertical="center" wrapText="1"/>
    </xf>
    <xf numFmtId="0" fontId="73" fillId="29" borderId="14" xfId="0" applyFont="1" applyFill="1" applyBorder="1" applyAlignment="1">
      <alignment vertical="center" wrapText="1"/>
    </xf>
    <xf numFmtId="178" fontId="73" fillId="29" borderId="3" xfId="0" applyNumberFormat="1" applyFont="1" applyFill="1" applyBorder="1" applyAlignment="1">
      <alignment horizontal="center" vertical="center" wrapText="1"/>
    </xf>
    <xf numFmtId="0" fontId="75" fillId="29" borderId="15" xfId="0" applyFont="1" applyFill="1" applyBorder="1" applyAlignment="1">
      <alignment vertical="center" wrapText="1"/>
    </xf>
    <xf numFmtId="0" fontId="75" fillId="29" borderId="14" xfId="0" applyFont="1" applyFill="1" applyBorder="1" applyAlignment="1">
      <alignment vertical="center" wrapText="1"/>
    </xf>
    <xf numFmtId="0" fontId="75" fillId="29" borderId="16" xfId="0" applyFont="1" applyFill="1" applyBorder="1" applyAlignment="1">
      <alignment vertical="center" wrapText="1"/>
    </xf>
    <xf numFmtId="178" fontId="83" fillId="29" borderId="3" xfId="0" applyNumberFormat="1" applyFont="1" applyFill="1" applyBorder="1" applyAlignment="1">
      <alignment horizontal="center" vertical="center" wrapText="1"/>
    </xf>
    <xf numFmtId="178" fontId="75" fillId="29" borderId="3" xfId="0" applyNumberFormat="1" applyFont="1" applyFill="1" applyBorder="1" applyAlignment="1">
      <alignment vertical="center" wrapText="1"/>
    </xf>
    <xf numFmtId="179" fontId="83" fillId="29" borderId="0" xfId="0" applyNumberFormat="1" applyFont="1" applyFill="1" applyAlignment="1">
      <alignment vertical="center"/>
    </xf>
    <xf numFmtId="0" fontId="75" fillId="29" borderId="15" xfId="0" applyFont="1" applyFill="1" applyBorder="1" applyAlignment="1">
      <alignment vertical="center"/>
    </xf>
    <xf numFmtId="0" fontId="75" fillId="29" borderId="14" xfId="0" applyFont="1" applyFill="1" applyBorder="1" applyAlignment="1">
      <alignment vertical="center"/>
    </xf>
    <xf numFmtId="0" fontId="75" fillId="29" borderId="16" xfId="0" applyFont="1" applyFill="1" applyBorder="1" applyAlignment="1">
      <alignment vertical="center"/>
    </xf>
    <xf numFmtId="0" fontId="75" fillId="29" borderId="15" xfId="0" applyFont="1" applyFill="1" applyBorder="1" applyAlignment="1">
      <alignment horizontal="left" vertical="center"/>
    </xf>
    <xf numFmtId="0" fontId="75" fillId="29" borderId="14" xfId="0" applyFont="1" applyFill="1" applyBorder="1" applyAlignment="1">
      <alignment vertical="center" wrapText="1"/>
    </xf>
    <xf numFmtId="0" fontId="75" fillId="29" borderId="16" xfId="0" applyFont="1" applyFill="1" applyBorder="1" applyAlignment="1">
      <alignment vertical="center" wrapText="1"/>
    </xf>
    <xf numFmtId="0" fontId="75" fillId="29" borderId="15" xfId="0" applyFont="1" applyFill="1" applyBorder="1" applyAlignment="1">
      <alignment horizontal="left" vertical="center" wrapText="1"/>
    </xf>
    <xf numFmtId="0" fontId="75" fillId="29" borderId="14" xfId="0" applyFont="1" applyFill="1" applyBorder="1" applyAlignment="1">
      <alignment horizontal="left" vertical="center" wrapText="1"/>
    </xf>
    <xf numFmtId="0" fontId="75" fillId="29" borderId="16" xfId="0" applyFont="1" applyFill="1" applyBorder="1" applyAlignment="1">
      <alignment horizontal="left" vertical="center" wrapText="1"/>
    </xf>
    <xf numFmtId="0" fontId="75" fillId="29" borderId="15" xfId="0" applyFont="1" applyFill="1" applyBorder="1" applyAlignment="1">
      <alignment horizontal="left" vertical="center"/>
    </xf>
    <xf numFmtId="0" fontId="75" fillId="29" borderId="14" xfId="0" applyFont="1" applyFill="1" applyBorder="1" applyAlignment="1">
      <alignment horizontal="left" vertical="center"/>
    </xf>
    <xf numFmtId="0" fontId="75" fillId="29" borderId="16" xfId="0" applyFont="1" applyFill="1" applyBorder="1" applyAlignment="1">
      <alignment horizontal="left" vertical="center"/>
    </xf>
    <xf numFmtId="178" fontId="75" fillId="29" borderId="3" xfId="0" applyNumberFormat="1" applyFont="1" applyFill="1" applyBorder="1" applyAlignment="1">
      <alignment horizontal="left" vertical="center" wrapText="1"/>
    </xf>
    <xf numFmtId="178" fontId="75" fillId="29" borderId="3" xfId="0" applyNumberFormat="1" applyFont="1" applyFill="1" applyBorder="1" applyAlignment="1">
      <alignment horizontal="right" vertical="center" wrapText="1"/>
    </xf>
    <xf numFmtId="178" fontId="75" fillId="29" borderId="3" xfId="0" applyNumberFormat="1" applyFont="1" applyFill="1" applyBorder="1" applyAlignment="1">
      <alignment horizontal="right" vertical="center"/>
    </xf>
    <xf numFmtId="0" fontId="83" fillId="29" borderId="3" xfId="0" applyFont="1" applyFill="1" applyBorder="1" applyAlignment="1">
      <alignment horizontal="right" vertical="center" wrapText="1"/>
    </xf>
    <xf numFmtId="0" fontId="83" fillId="29" borderId="3" xfId="0" applyFont="1" applyFill="1" applyBorder="1" applyAlignment="1">
      <alignment horizontal="right" vertical="center"/>
    </xf>
    <xf numFmtId="0" fontId="75" fillId="29" borderId="3" xfId="0" applyFont="1" applyFill="1" applyBorder="1" applyAlignment="1">
      <alignment horizontal="right"/>
    </xf>
    <xf numFmtId="169" fontId="82" fillId="29" borderId="3" xfId="0" applyNumberFormat="1" applyFont="1" applyFill="1" applyBorder="1" applyAlignment="1">
      <alignment vertical="center"/>
    </xf>
    <xf numFmtId="0" fontId="82" fillId="29" borderId="15" xfId="0" applyFont="1" applyFill="1" applyBorder="1" applyAlignment="1">
      <alignment horizontal="center" vertical="center" wrapText="1"/>
    </xf>
    <xf numFmtId="178" fontId="75" fillId="29" borderId="3" xfId="0" applyNumberFormat="1" applyFont="1" applyFill="1" applyBorder="1" applyAlignment="1">
      <alignment horizontal="center" vertical="center"/>
    </xf>
    <xf numFmtId="178" fontId="75" fillId="29" borderId="13" xfId="0" applyNumberFormat="1" applyFont="1" applyFill="1" applyBorder="1" applyAlignment="1">
      <alignment horizontal="center" vertical="center"/>
    </xf>
    <xf numFmtId="3" fontId="73" fillId="29" borderId="15" xfId="0" applyNumberFormat="1" applyFont="1" applyFill="1" applyBorder="1" applyAlignment="1">
      <alignment horizontal="left" vertical="center" wrapText="1"/>
    </xf>
    <xf numFmtId="3" fontId="73" fillId="29" borderId="14" xfId="0" applyNumberFormat="1" applyFont="1" applyFill="1" applyBorder="1" applyAlignment="1">
      <alignment horizontal="left" vertical="center" wrapText="1"/>
    </xf>
    <xf numFmtId="0" fontId="82" fillId="29" borderId="0" xfId="0" applyFont="1" applyFill="1" applyBorder="1" applyAlignment="1">
      <alignment horizontal="right" vertical="center"/>
    </xf>
    <xf numFmtId="169" fontId="82" fillId="29" borderId="0" xfId="0" applyNumberFormat="1" applyFont="1" applyFill="1" applyBorder="1" applyAlignment="1">
      <alignment horizontal="right" vertical="center"/>
    </xf>
    <xf numFmtId="0" fontId="83" fillId="29" borderId="0" xfId="0" applyFont="1" applyFill="1" applyAlignment="1">
      <alignment horizontal="center" vertical="center"/>
    </xf>
    <xf numFmtId="0" fontId="83" fillId="29" borderId="0" xfId="0" applyFont="1" applyFill="1" applyAlignment="1">
      <alignment horizontal="left" vertical="center"/>
    </xf>
    <xf numFmtId="0" fontId="83" fillId="29" borderId="0" xfId="0" applyFont="1" applyFill="1" applyAlignment="1"/>
    <xf numFmtId="0" fontId="88" fillId="29" borderId="0" xfId="0" applyFont="1" applyFill="1" applyBorder="1" applyAlignment="1">
      <alignment horizontal="center" wrapText="1"/>
    </xf>
    <xf numFmtId="0" fontId="90" fillId="29" borderId="0" xfId="0" applyFont="1" applyFill="1" applyAlignment="1">
      <alignment horizontal="center"/>
    </xf>
    <xf numFmtId="0" fontId="83" fillId="29" borderId="0" xfId="0" applyFont="1" applyFill="1" applyBorder="1" applyAlignment="1">
      <alignment horizontal="center"/>
    </xf>
    <xf numFmtId="0" fontId="83" fillId="29" borderId="0" xfId="0" applyFont="1" applyFill="1" applyBorder="1" applyAlignment="1">
      <alignment horizontal="center"/>
    </xf>
    <xf numFmtId="0" fontId="83" fillId="29" borderId="0" xfId="0" applyFont="1" applyFill="1" applyBorder="1" applyAlignment="1"/>
    <xf numFmtId="0" fontId="73" fillId="29" borderId="13" xfId="0" applyFont="1" applyFill="1" applyBorder="1" applyAlignment="1">
      <alignment horizontal="center"/>
    </xf>
    <xf numFmtId="0" fontId="83" fillId="29" borderId="0" xfId="0" applyFont="1" applyFill="1" applyAlignment="1">
      <alignment horizontal="center" vertical="center"/>
    </xf>
    <xf numFmtId="0" fontId="91" fillId="29" borderId="0" xfId="0" applyFont="1" applyFill="1" applyBorder="1" applyAlignment="1">
      <alignment horizontal="center" vertical="center"/>
    </xf>
    <xf numFmtId="0" fontId="91" fillId="29" borderId="17" xfId="0" applyFont="1" applyFill="1" applyBorder="1" applyAlignment="1">
      <alignment horizontal="center" vertical="center"/>
    </xf>
    <xf numFmtId="0" fontId="83" fillId="29" borderId="17" xfId="0" applyFont="1" applyFill="1" applyBorder="1" applyAlignment="1">
      <alignment horizontal="center" vertical="center"/>
    </xf>
    <xf numFmtId="0" fontId="83" fillId="29" borderId="0" xfId="0" applyFont="1" applyFill="1" applyAlignment="1">
      <alignment horizontal="left" vertical="center" wrapText="1" shrinkToFit="1"/>
    </xf>
    <xf numFmtId="0" fontId="83" fillId="29" borderId="0" xfId="0" applyFont="1" applyFill="1" applyAlignment="1">
      <alignment vertical="center" wrapText="1" shrinkToFit="1"/>
    </xf>
    <xf numFmtId="0" fontId="83" fillId="29" borderId="0" xfId="0" applyFont="1" applyFill="1" applyBorder="1" applyAlignment="1">
      <alignment vertical="center" wrapText="1" shrinkToFit="1"/>
    </xf>
    <xf numFmtId="0" fontId="92" fillId="29" borderId="0" xfId="0" applyFont="1" applyFill="1" applyAlignment="1">
      <alignment vertical="center" wrapText="1"/>
    </xf>
    <xf numFmtId="0" fontId="93" fillId="29" borderId="0" xfId="0" applyFont="1" applyFill="1" applyAlignment="1">
      <alignment vertical="center" wrapText="1"/>
    </xf>
    <xf numFmtId="0" fontId="92" fillId="29" borderId="0" xfId="0" applyFont="1" applyFill="1" applyAlignment="1">
      <alignment vertical="center" wrapText="1"/>
    </xf>
    <xf numFmtId="0" fontId="93" fillId="29" borderId="0" xfId="0" applyFont="1" applyFill="1" applyAlignment="1">
      <alignment horizontal="left" vertical="center"/>
    </xf>
    <xf numFmtId="178" fontId="86" fillId="0" borderId="3" xfId="0" applyNumberFormat="1" applyFont="1" applyFill="1" applyBorder="1" applyAlignment="1">
      <alignment vertical="center"/>
    </xf>
    <xf numFmtId="0" fontId="72" fillId="0" borderId="3" xfId="0" quotePrefix="1" applyFont="1" applyFill="1" applyBorder="1" applyAlignment="1">
      <alignment horizontal="center" vertical="center" wrapText="1"/>
    </xf>
    <xf numFmtId="178" fontId="86" fillId="0" borderId="3" xfId="0" applyNumberFormat="1" applyFont="1" applyFill="1" applyBorder="1" applyAlignment="1">
      <alignment vertical="center" wrapText="1"/>
    </xf>
    <xf numFmtId="0" fontId="75" fillId="0" borderId="15" xfId="0" applyFont="1" applyFill="1" applyBorder="1" applyAlignment="1">
      <alignment horizontal="left" vertical="center" wrapText="1"/>
    </xf>
    <xf numFmtId="0" fontId="75" fillId="0" borderId="15" xfId="0" applyFont="1" applyFill="1" applyBorder="1" applyAlignment="1">
      <alignment vertical="center"/>
    </xf>
    <xf numFmtId="0" fontId="75" fillId="0" borderId="3" xfId="0" applyFont="1" applyFill="1" applyBorder="1" applyAlignment="1">
      <alignment vertical="center"/>
    </xf>
    <xf numFmtId="0" fontId="75" fillId="0" borderId="3" xfId="0" applyFont="1" applyFill="1" applyBorder="1" applyAlignment="1">
      <alignment horizontal="left" vertical="center"/>
    </xf>
    <xf numFmtId="0" fontId="75" fillId="0" borderId="13" xfId="0" applyFont="1" applyFill="1" applyBorder="1" applyAlignment="1">
      <alignment horizontal="left" vertical="center"/>
    </xf>
    <xf numFmtId="0" fontId="75" fillId="0" borderId="13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 wrapText="1"/>
    </xf>
  </cellXfs>
  <cellStyles count="356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Гиперссылка" xfId="355" builtinId="8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4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  <sheetData sheetId="28"/>
      <sheetData sheetId="29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dzo.com.ua/tenders/2007840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R251"/>
  <sheetViews>
    <sheetView view="pageBreakPreview" zoomScale="75" zoomScaleNormal="75" zoomScaleSheetLayoutView="75" workbookViewId="0">
      <selection activeCell="L6" sqref="L6"/>
    </sheetView>
  </sheetViews>
  <sheetFormatPr defaultColWidth="9.140625" defaultRowHeight="20.25"/>
  <cols>
    <col min="1" max="1" width="65.42578125" style="87" customWidth="1"/>
    <col min="2" max="2" width="17.28515625" style="175" customWidth="1"/>
    <col min="3" max="4" width="18" style="175" customWidth="1"/>
    <col min="5" max="5" width="18.7109375" style="87" customWidth="1"/>
    <col min="6" max="6" width="19" style="87" customWidth="1"/>
    <col min="7" max="7" width="18.7109375" style="87" customWidth="1"/>
    <col min="8" max="8" width="19.7109375" style="87" customWidth="1"/>
    <col min="9" max="9" width="22.85546875" style="87" customWidth="1"/>
    <col min="10" max="10" width="18.85546875" style="87" customWidth="1"/>
    <col min="11" max="11" width="17.42578125" style="87" customWidth="1"/>
    <col min="12" max="12" width="13.85546875" style="87" customWidth="1"/>
    <col min="13" max="13" width="17" style="87" customWidth="1"/>
    <col min="14" max="16" width="9.140625" style="87"/>
    <col min="17" max="17" width="11.42578125" style="87" bestFit="1" customWidth="1"/>
    <col min="18" max="18" width="18.5703125" style="87" customWidth="1"/>
    <col min="19" max="16384" width="9.140625" style="87"/>
  </cols>
  <sheetData>
    <row r="1" spans="1:10" ht="111" customHeight="1">
      <c r="A1" s="199" t="s">
        <v>529</v>
      </c>
      <c r="B1" s="198"/>
      <c r="C1" s="198"/>
      <c r="D1" s="198"/>
      <c r="E1" s="198"/>
      <c r="F1" s="198"/>
      <c r="G1" s="198"/>
      <c r="H1" s="198"/>
    </row>
    <row r="2" spans="1:10" ht="30" customHeight="1">
      <c r="A2" s="198" t="s">
        <v>18</v>
      </c>
      <c r="B2" s="198"/>
      <c r="C2" s="198"/>
      <c r="D2" s="198"/>
      <c r="E2" s="198"/>
      <c r="F2" s="198"/>
      <c r="G2" s="198"/>
      <c r="H2" s="198"/>
    </row>
    <row r="3" spans="1:10" ht="23.25" customHeight="1">
      <c r="B3" s="176"/>
      <c r="C3" s="187"/>
      <c r="D3" s="176"/>
      <c r="E3" s="176"/>
      <c r="F3" s="176"/>
      <c r="G3" s="176"/>
      <c r="H3" s="95" t="s">
        <v>57</v>
      </c>
    </row>
    <row r="4" spans="1:10" ht="51.75" customHeight="1">
      <c r="A4" s="195" t="s">
        <v>23</v>
      </c>
      <c r="B4" s="194" t="s">
        <v>5</v>
      </c>
      <c r="C4" s="194" t="s">
        <v>121</v>
      </c>
      <c r="D4" s="194"/>
      <c r="E4" s="195" t="s">
        <v>351</v>
      </c>
      <c r="F4" s="195"/>
      <c r="G4" s="195"/>
      <c r="H4" s="195"/>
    </row>
    <row r="5" spans="1:10" ht="47.25" customHeight="1">
      <c r="A5" s="195"/>
      <c r="B5" s="194"/>
      <c r="C5" s="174" t="s">
        <v>349</v>
      </c>
      <c r="D5" s="174" t="s">
        <v>350</v>
      </c>
      <c r="E5" s="96" t="s">
        <v>107</v>
      </c>
      <c r="F5" s="96" t="s">
        <v>108</v>
      </c>
      <c r="G5" s="96" t="s">
        <v>109</v>
      </c>
      <c r="H5" s="96" t="s">
        <v>110</v>
      </c>
    </row>
    <row r="6" spans="1:10" ht="29.25" customHeight="1">
      <c r="A6" s="173">
        <v>1</v>
      </c>
      <c r="B6" s="174">
        <v>2</v>
      </c>
      <c r="C6" s="174">
        <v>3</v>
      </c>
      <c r="D6" s="174">
        <v>5</v>
      </c>
      <c r="E6" s="174">
        <v>7</v>
      </c>
      <c r="F6" s="174">
        <v>8</v>
      </c>
      <c r="G6" s="174">
        <v>9</v>
      </c>
      <c r="H6" s="174">
        <v>10</v>
      </c>
    </row>
    <row r="7" spans="1:10" ht="33" customHeight="1">
      <c r="A7" s="200" t="s">
        <v>98</v>
      </c>
      <c r="B7" s="200"/>
      <c r="C7" s="200"/>
      <c r="D7" s="200"/>
      <c r="E7" s="200"/>
      <c r="F7" s="200"/>
      <c r="G7" s="200"/>
      <c r="H7" s="200"/>
    </row>
    <row r="8" spans="1:10" ht="48.75" customHeight="1">
      <c r="A8" s="97" t="s">
        <v>122</v>
      </c>
      <c r="B8" s="98">
        <v>1000</v>
      </c>
      <c r="C8" s="83">
        <f>'Розшифровка 1 до Формування'!D7</f>
        <v>118470</v>
      </c>
      <c r="D8" s="83">
        <f>F8</f>
        <v>121006</v>
      </c>
      <c r="E8" s="83">
        <f>'Розшифровка 1 до Формування'!E7</f>
        <v>122475.8</v>
      </c>
      <c r="F8" s="83">
        <f>'Розшифровка 1 до Формування'!F7</f>
        <v>121006</v>
      </c>
      <c r="G8" s="83">
        <f>F8-E8</f>
        <v>-1469.8000000000029</v>
      </c>
      <c r="H8" s="83">
        <f>(F8/E8)*100</f>
        <v>98.799926189500283</v>
      </c>
      <c r="J8" s="99"/>
    </row>
    <row r="9" spans="1:10" ht="47.25" customHeight="1">
      <c r="A9" s="97" t="s">
        <v>67</v>
      </c>
      <c r="B9" s="98">
        <v>1010</v>
      </c>
      <c r="C9" s="83">
        <f>SUM(C10:C14)</f>
        <v>-119847.1</v>
      </c>
      <c r="D9" s="83">
        <f>SUM(D10:D14)</f>
        <v>-128984.2</v>
      </c>
      <c r="E9" s="83">
        <f>SUM(E10:E14)</f>
        <v>-134461.19999999998</v>
      </c>
      <c r="F9" s="83">
        <f t="shared" ref="F9:F43" si="0">D9</f>
        <v>-128984.2</v>
      </c>
      <c r="G9" s="83">
        <f t="shared" ref="G9:G43" si="1">F9-E9</f>
        <v>5476.9999999999854</v>
      </c>
      <c r="H9" s="83">
        <f t="shared" ref="H9:H43" si="2">(F9/E9)*100</f>
        <v>95.926705993996791</v>
      </c>
      <c r="J9" s="99"/>
    </row>
    <row r="10" spans="1:10" ht="30" customHeight="1">
      <c r="A10" s="100" t="s">
        <v>68</v>
      </c>
      <c r="B10" s="173">
        <v>1011</v>
      </c>
      <c r="C10" s="101">
        <f>-SUM('Розшифровка 2 до формування'!D10,'Розшифровка 2 до формування'!D55,'Розшифровка 2 до формування'!D102,'Розшифровка 2 до формування'!D128,'Розшифровка 2 до формування'!D147,'Розшифровка 2 до формування'!D160,'Розшифровка 2 до формування'!D195,'Розшифровка 2 до формування'!D216,)</f>
        <v>-23657.999999999996</v>
      </c>
      <c r="D10" s="101">
        <f>F10</f>
        <v>-25788.1</v>
      </c>
      <c r="E10" s="101">
        <f>-SUM('Розшифровка 2 до формування'!E10,'Розшифровка 2 до формування'!E55,'Розшифровка 2 до формування'!E102,'Розшифровка 2 до формування'!E128,'Розшифровка 2 до формування'!E147,'Розшифровка 2 до формування'!E160,'Розшифровка 2 до формування'!E195,'Розшифровка 2 до формування'!E216)</f>
        <v>-23408</v>
      </c>
      <c r="F10" s="83">
        <f>-SUM('Розшифровка 2 до формування'!F10,'Розшифровка 2 до формування'!F55,'Розшифровка 2 до формування'!F102,'Розшифровка 2 до формування'!F128,'Розшифровка 2 до формування'!F147,'Розшифровка 2 до формування'!F160,'Розшифровка 2 до формування'!F195,'Розшифровка 2 до формування'!F216)</f>
        <v>-25788.1</v>
      </c>
      <c r="G10" s="101">
        <f t="shared" si="1"/>
        <v>-2380.0999999999985</v>
      </c>
      <c r="H10" s="101">
        <f t="shared" si="2"/>
        <v>110.1678913192071</v>
      </c>
      <c r="J10" s="99"/>
    </row>
    <row r="11" spans="1:10" ht="28.5" customHeight="1">
      <c r="A11" s="100" t="s">
        <v>2</v>
      </c>
      <c r="B11" s="173">
        <v>1012</v>
      </c>
      <c r="C11" s="101">
        <f>-SUM('Розшифровка 2 до формування'!D16,'Розшифровка 2 до формування'!D61,)</f>
        <v>-66935.7</v>
      </c>
      <c r="D11" s="101">
        <f t="shared" ref="D11:D14" si="3">F11</f>
        <v>-69580.2</v>
      </c>
      <c r="E11" s="101">
        <f>-SUM('Розшифровка 2 до формування'!E16,'Розшифровка 2 до формування'!E61,)</f>
        <v>-71503.8</v>
      </c>
      <c r="F11" s="83">
        <f>-SUM('Розшифровка 2 до формування'!F16,'Розшифровка 2 до формування'!F61,)</f>
        <v>-69580.2</v>
      </c>
      <c r="G11" s="101">
        <f t="shared" si="1"/>
        <v>1923.6000000000058</v>
      </c>
      <c r="H11" s="101">
        <f t="shared" si="2"/>
        <v>97.309793325669389</v>
      </c>
      <c r="J11" s="99"/>
    </row>
    <row r="12" spans="1:10" ht="29.25" customHeight="1">
      <c r="A12" s="100" t="s">
        <v>3</v>
      </c>
      <c r="B12" s="173">
        <v>1013</v>
      </c>
      <c r="C12" s="101">
        <f>-SUM('Розшифровка 2 до формування'!D17,'Розшифровка 2 до формування'!D62,)</f>
        <v>-14004.1</v>
      </c>
      <c r="D12" s="101">
        <f t="shared" si="3"/>
        <v>-14559.599999999999</v>
      </c>
      <c r="E12" s="101">
        <f>-SUM('Розшифровка 2 до формування'!E17,'Розшифровка 2 до формування'!E62,)</f>
        <v>-16444.099999999999</v>
      </c>
      <c r="F12" s="83">
        <f>-SUM('Розшифровка 2 до формування'!F17,'Розшифровка 2 до формування'!F62,)</f>
        <v>-14559.599999999999</v>
      </c>
      <c r="G12" s="101">
        <f t="shared" si="1"/>
        <v>1884.5</v>
      </c>
      <c r="H12" s="101">
        <f t="shared" si="2"/>
        <v>88.539962661380073</v>
      </c>
      <c r="J12" s="99"/>
    </row>
    <row r="13" spans="1:10" ht="29.25" customHeight="1">
      <c r="A13" s="100" t="s">
        <v>4</v>
      </c>
      <c r="B13" s="173">
        <v>1014</v>
      </c>
      <c r="C13" s="101">
        <f>-SUM('Розшифровка 2 до формування'!D18,'Розшифровка 2 до формування'!D63,'Розшифровка 2 до формування'!D201,'Розшифровка 2 до формування'!D220,'Розшифровка 2 до формування'!D245)</f>
        <v>-5075.8</v>
      </c>
      <c r="D13" s="101">
        <f t="shared" si="3"/>
        <v>-5407.5000000000009</v>
      </c>
      <c r="E13" s="101">
        <f>-SUM('Розшифровка 2 до формування'!E18,'Розшифровка 2 до формування'!E63,'Розшифровка 2 до формування'!E201,'Розшифровка 2 до формування'!E220,'Розшифровка 2 до формування'!E245)</f>
        <v>-6822</v>
      </c>
      <c r="F13" s="83">
        <f>-SUM('Розшифровка 2 до формування'!F18,'Розшифровка 2 до формування'!F63,'Розшифровка 2 до формування'!F201,'Розшифровка 2 до формування'!F220,'Розшифровка 2 до формування'!F245)</f>
        <v>-5407.5000000000009</v>
      </c>
      <c r="G13" s="102">
        <f t="shared" si="1"/>
        <v>1414.4999999999991</v>
      </c>
      <c r="H13" s="102">
        <f t="shared" si="2"/>
        <v>79.265611257695696</v>
      </c>
      <c r="J13" s="99"/>
    </row>
    <row r="14" spans="1:10" ht="30" customHeight="1">
      <c r="A14" s="100" t="s">
        <v>50</v>
      </c>
      <c r="B14" s="173">
        <v>1015</v>
      </c>
      <c r="C14" s="101">
        <f>-SUM('Розшифровка 2 до формування'!D19,'Розшифровка 2 до формування'!D64,'Розшифровка 2 до формування'!D105,'Розшифровка 2 до формування'!D132,'Розшифровка 2 до формування'!D163,'Розшифровка 2 до формування'!D202,'Розшифровка 2 до формування'!D221)</f>
        <v>-10173.5</v>
      </c>
      <c r="D14" s="101">
        <f t="shared" si="3"/>
        <v>-13648.800000000001</v>
      </c>
      <c r="E14" s="101">
        <f>-SUM('Розшифровка 2 до формування'!E19,'Розшифровка 2 до формування'!E64,'Розшифровка 2 до формування'!E105,'Розшифровка 2 до формування'!E132,'Розшифровка 2 до формування'!E163,'Розшифровка 2 до формування'!E202,'Розшифровка 2 до формування'!E221,)</f>
        <v>-16283.3</v>
      </c>
      <c r="F14" s="83">
        <f>-SUM('Розшифровка 2 до формування'!F19,'Розшифровка 2 до формування'!F64,'Розшифровка 2 до формування'!F105,'Розшифровка 2 до формування'!F132,'Розшифровка 2 до формування'!F163,'Розшифровка 2 до формування'!F202,'Розшифровка 2 до формування'!F221,)</f>
        <v>-13648.800000000001</v>
      </c>
      <c r="G14" s="101">
        <f t="shared" si="1"/>
        <v>2634.4999999999982</v>
      </c>
      <c r="H14" s="101">
        <f t="shared" si="2"/>
        <v>83.820847125582659</v>
      </c>
      <c r="J14" s="99"/>
    </row>
    <row r="15" spans="1:10" ht="28.5" customHeight="1">
      <c r="A15" s="97" t="s">
        <v>25</v>
      </c>
      <c r="B15" s="173">
        <v>1020</v>
      </c>
      <c r="C15" s="83">
        <f>SUM(C8:C9)</f>
        <v>-1377.1000000000058</v>
      </c>
      <c r="D15" s="83">
        <f>SUM(D8:D9)</f>
        <v>-7978.1999999999971</v>
      </c>
      <c r="E15" s="83">
        <f>SUM(E8:E9)</f>
        <v>-11985.39999999998</v>
      </c>
      <c r="F15" s="83">
        <f t="shared" si="0"/>
        <v>-7978.1999999999971</v>
      </c>
      <c r="G15" s="83">
        <f t="shared" si="1"/>
        <v>4007.1999999999825</v>
      </c>
      <c r="H15" s="83">
        <f t="shared" si="2"/>
        <v>66.565988619487129</v>
      </c>
    </row>
    <row r="16" spans="1:10" ht="35.25" customHeight="1">
      <c r="A16" s="97" t="s">
        <v>89</v>
      </c>
      <c r="B16" s="98">
        <v>1020</v>
      </c>
      <c r="C16" s="83">
        <f>SUM(C17:C21)</f>
        <v>-8005.2000000000007</v>
      </c>
      <c r="D16" s="83">
        <f>SUM(D17:D21)</f>
        <v>-11829.599999999999</v>
      </c>
      <c r="E16" s="83">
        <f>SUM(E17:E21)</f>
        <v>-10360.199999999999</v>
      </c>
      <c r="F16" s="83">
        <f t="shared" si="0"/>
        <v>-11829.599999999999</v>
      </c>
      <c r="G16" s="83">
        <f t="shared" si="1"/>
        <v>-1469.3999999999996</v>
      </c>
      <c r="H16" s="83">
        <f t="shared" si="2"/>
        <v>114.18312387791741</v>
      </c>
    </row>
    <row r="17" spans="1:8" ht="27.75" customHeight="1">
      <c r="A17" s="100" t="s">
        <v>68</v>
      </c>
      <c r="B17" s="173">
        <v>1021</v>
      </c>
      <c r="C17" s="101">
        <f>-SUM('Розшифровка 2 до формування'!D36,)</f>
        <v>-42.2</v>
      </c>
      <c r="D17" s="101">
        <f>F17</f>
        <v>-45.6</v>
      </c>
      <c r="E17" s="101">
        <f>-SUM('Розшифровка 2 до формування'!E36)</f>
        <v>0</v>
      </c>
      <c r="F17" s="83">
        <f>-SUM('Розшифровка 2 до формування'!F36)</f>
        <v>-45.6</v>
      </c>
      <c r="G17" s="101">
        <f t="shared" si="1"/>
        <v>-45.6</v>
      </c>
      <c r="H17" s="101" t="e">
        <f t="shared" si="2"/>
        <v>#DIV/0!</v>
      </c>
    </row>
    <row r="18" spans="1:8" ht="27.75" customHeight="1">
      <c r="A18" s="100" t="s">
        <v>2</v>
      </c>
      <c r="B18" s="173">
        <v>1022</v>
      </c>
      <c r="C18" s="101">
        <f>-SUM('Розшифровка 2 до формування'!D38,)</f>
        <v>-4556.3</v>
      </c>
      <c r="D18" s="101">
        <f t="shared" ref="D18:D21" si="4">F18</f>
        <v>-5843.1</v>
      </c>
      <c r="E18" s="101">
        <f>-SUM('Розшифровка 2 до формування'!E38,)</f>
        <v>-6498.6</v>
      </c>
      <c r="F18" s="83">
        <f>-SUM('Розшифровка 2 до формування'!F38,)</f>
        <v>-5843.1</v>
      </c>
      <c r="G18" s="101">
        <f t="shared" si="1"/>
        <v>655.5</v>
      </c>
      <c r="H18" s="101">
        <f t="shared" si="2"/>
        <v>89.913212076447238</v>
      </c>
    </row>
    <row r="19" spans="1:8" ht="27.75" customHeight="1">
      <c r="A19" s="100" t="s">
        <v>3</v>
      </c>
      <c r="B19" s="173">
        <v>1023</v>
      </c>
      <c r="C19" s="101">
        <f>-SUM('Розшифровка 2 до формування'!D39,)</f>
        <v>-974.7</v>
      </c>
      <c r="D19" s="101">
        <f t="shared" si="4"/>
        <v>-1250.4000000000001</v>
      </c>
      <c r="E19" s="101">
        <f>-SUM('Розшифровка 2 до формування'!E39)</f>
        <v>-1494.2</v>
      </c>
      <c r="F19" s="83">
        <f>-SUM('Розшифровка 2 до формування'!F39)</f>
        <v>-1250.4000000000001</v>
      </c>
      <c r="G19" s="101">
        <f t="shared" si="1"/>
        <v>243.79999999999995</v>
      </c>
      <c r="H19" s="101">
        <f t="shared" si="2"/>
        <v>83.683576495783697</v>
      </c>
    </row>
    <row r="20" spans="1:8" ht="27.75" customHeight="1">
      <c r="A20" s="100" t="s">
        <v>4</v>
      </c>
      <c r="B20" s="173">
        <v>1024</v>
      </c>
      <c r="C20" s="101">
        <f>-SUM('Розшифровка 2 до формування'!D248)</f>
        <v>-1380.4</v>
      </c>
      <c r="D20" s="101">
        <f t="shared" si="4"/>
        <v>-3410.2</v>
      </c>
      <c r="E20" s="101">
        <f>-SUM('Розшифровка 2 до формування'!E248)</f>
        <v>-1428</v>
      </c>
      <c r="F20" s="83">
        <f>-SUM('Розшифровка 2 до формування'!F248)</f>
        <v>-3410.2</v>
      </c>
      <c r="G20" s="102">
        <f t="shared" si="1"/>
        <v>-1982.1999999999998</v>
      </c>
      <c r="H20" s="102">
        <f t="shared" si="2"/>
        <v>238.8095238095238</v>
      </c>
    </row>
    <row r="21" spans="1:8" ht="27.75" customHeight="1">
      <c r="A21" s="100" t="s">
        <v>69</v>
      </c>
      <c r="B21" s="173">
        <v>1025</v>
      </c>
      <c r="C21" s="101">
        <f>-SUM('Розшифровка 2 до формування'!D40,'Розшифровка 2 до формування'!D85,'Розшифровка 2 до формування'!D117,'Розшифровка 2 до формування'!D139,'Розшифровка 2 до формування'!D175,'Розшифровка 2 до формування'!D230,)</f>
        <v>-1051.6000000000001</v>
      </c>
      <c r="D21" s="101">
        <f t="shared" si="4"/>
        <v>-1280.3</v>
      </c>
      <c r="E21" s="101">
        <f>-SUM('Розшифровка 2 до формування'!E40,'Розшифровка 2 до формування'!E85,'Розшифровка 2 до формування'!E117,'Розшифровка 2 до формування'!E139,'Розшифровка 2 до формування'!E175,'Розшифровка 2 до формування'!E230,)</f>
        <v>-939.4</v>
      </c>
      <c r="F21" s="83">
        <f>-SUM('Розшифровка 2 до формування'!F40,'Розшифровка 2 до формування'!F85,'Розшифровка 2 до формування'!F117,'Розшифровка 2 до формування'!F139,'Розшифровка 2 до формування'!F175,'Розшифровка 2 до формування'!F230,)</f>
        <v>-1280.3</v>
      </c>
      <c r="G21" s="101">
        <f t="shared" si="1"/>
        <v>-340.9</v>
      </c>
      <c r="H21" s="101">
        <f t="shared" si="2"/>
        <v>136.28912071535021</v>
      </c>
    </row>
    <row r="22" spans="1:8" ht="38.25" customHeight="1">
      <c r="A22" s="97" t="s">
        <v>35</v>
      </c>
      <c r="B22" s="98">
        <v>1040</v>
      </c>
      <c r="C22" s="83">
        <f>SUM(C23:C24)</f>
        <v>17830.7</v>
      </c>
      <c r="D22" s="83">
        <f>SUM(D23:D24)</f>
        <v>20836.8</v>
      </c>
      <c r="E22" s="83">
        <f>SUM(E23:E24)</f>
        <v>13298.599999999999</v>
      </c>
      <c r="F22" s="83">
        <f t="shared" si="0"/>
        <v>20836.8</v>
      </c>
      <c r="G22" s="83">
        <f t="shared" si="1"/>
        <v>7538.2000000000007</v>
      </c>
      <c r="H22" s="83">
        <f t="shared" si="2"/>
        <v>156.68416224264209</v>
      </c>
    </row>
    <row r="23" spans="1:8" ht="30.75" customHeight="1">
      <c r="A23" s="100" t="s">
        <v>36</v>
      </c>
      <c r="B23" s="173">
        <v>1041</v>
      </c>
      <c r="C23" s="101"/>
      <c r="D23" s="101"/>
      <c r="E23" s="101"/>
      <c r="F23" s="83">
        <f t="shared" si="0"/>
        <v>0</v>
      </c>
      <c r="G23" s="101">
        <f t="shared" si="1"/>
        <v>0</v>
      </c>
      <c r="H23" s="102" t="e">
        <f t="shared" si="2"/>
        <v>#DIV/0!</v>
      </c>
    </row>
    <row r="24" spans="1:8" ht="27.75" customHeight="1">
      <c r="A24" s="100" t="s">
        <v>37</v>
      </c>
      <c r="B24" s="173">
        <v>1042</v>
      </c>
      <c r="C24" s="101">
        <f>'Розшифровка 1 до Формування'!D10</f>
        <v>17830.7</v>
      </c>
      <c r="D24" s="101">
        <f>F24</f>
        <v>20836.8</v>
      </c>
      <c r="E24" s="101">
        <f>'Розшифровка 1 до Формування'!E10</f>
        <v>13298.599999999999</v>
      </c>
      <c r="F24" s="83">
        <f>'Розшифровка 1 до Формування'!F10</f>
        <v>20836.8</v>
      </c>
      <c r="G24" s="101">
        <f t="shared" si="1"/>
        <v>7538.2000000000007</v>
      </c>
      <c r="H24" s="101">
        <f t="shared" si="2"/>
        <v>156.68416224264209</v>
      </c>
    </row>
    <row r="25" spans="1:8" ht="42.75" customHeight="1">
      <c r="A25" s="97" t="s">
        <v>12</v>
      </c>
      <c r="B25" s="98">
        <v>1030</v>
      </c>
      <c r="C25" s="83">
        <f>SUM(C26:C30)</f>
        <v>-1313.3</v>
      </c>
      <c r="D25" s="83">
        <f>SUM(D26:D30)</f>
        <v>-1981.1</v>
      </c>
      <c r="E25" s="83">
        <f>SUM(E26:E30)</f>
        <v>-413</v>
      </c>
      <c r="F25" s="83">
        <f t="shared" si="0"/>
        <v>-1981.1</v>
      </c>
      <c r="G25" s="83">
        <f t="shared" si="1"/>
        <v>-1568.1</v>
      </c>
      <c r="H25" s="83">
        <f t="shared" si="2"/>
        <v>479.68523002421301</v>
      </c>
    </row>
    <row r="26" spans="1:8" ht="27.75" customHeight="1">
      <c r="A26" s="100" t="s">
        <v>68</v>
      </c>
      <c r="B26" s="173">
        <v>1031</v>
      </c>
      <c r="C26" s="101" t="s">
        <v>26</v>
      </c>
      <c r="D26" s="101" t="s">
        <v>26</v>
      </c>
      <c r="E26" s="101" t="s">
        <v>26</v>
      </c>
      <c r="F26" s="83" t="s">
        <v>26</v>
      </c>
      <c r="G26" s="102" t="s">
        <v>26</v>
      </c>
      <c r="H26" s="102" t="s">
        <v>26</v>
      </c>
    </row>
    <row r="27" spans="1:8" ht="27.75" customHeight="1">
      <c r="A27" s="100" t="s">
        <v>2</v>
      </c>
      <c r="B27" s="173">
        <v>1032</v>
      </c>
      <c r="C27" s="101">
        <f>-SUM('Розшифровка 2 до формування'!D48,)</f>
        <v>-796.9</v>
      </c>
      <c r="D27" s="101">
        <f>F27</f>
        <v>-1013.4</v>
      </c>
      <c r="E27" s="101">
        <f>-SUM('Розшифровка 2 до формування'!E48,)</f>
        <v>0</v>
      </c>
      <c r="F27" s="83">
        <f>-SUM('Розшифровка 2 до формування'!F48,)</f>
        <v>-1013.4</v>
      </c>
      <c r="G27" s="102">
        <f t="shared" si="1"/>
        <v>-1013.4</v>
      </c>
      <c r="H27" s="102" t="e">
        <f t="shared" si="2"/>
        <v>#DIV/0!</v>
      </c>
    </row>
    <row r="28" spans="1:8" ht="27.75" customHeight="1">
      <c r="A28" s="100" t="s">
        <v>3</v>
      </c>
      <c r="B28" s="173">
        <v>1033</v>
      </c>
      <c r="C28" s="101">
        <f>-SUM('Розшифровка 2 до формування'!D49,)</f>
        <v>-295.89999999999998</v>
      </c>
      <c r="D28" s="101">
        <f t="shared" ref="D28:D30" si="5">F28</f>
        <v>-405.1</v>
      </c>
      <c r="E28" s="101">
        <f>-SUM('Розшифровка 2 до формування'!E49)</f>
        <v>0</v>
      </c>
      <c r="F28" s="83">
        <f>-SUM('Розшифровка 2 до формування'!F49)</f>
        <v>-405.1</v>
      </c>
      <c r="G28" s="102">
        <f t="shared" si="1"/>
        <v>-405.1</v>
      </c>
      <c r="H28" s="102" t="e">
        <f t="shared" si="2"/>
        <v>#DIV/0!</v>
      </c>
    </row>
    <row r="29" spans="1:8" ht="27.75" customHeight="1">
      <c r="A29" s="100" t="s">
        <v>4</v>
      </c>
      <c r="B29" s="173">
        <v>1034</v>
      </c>
      <c r="C29" s="101"/>
      <c r="D29" s="101">
        <f t="shared" si="5"/>
        <v>0</v>
      </c>
      <c r="E29" s="101"/>
      <c r="F29" s="83"/>
      <c r="G29" s="102">
        <f t="shared" si="1"/>
        <v>0</v>
      </c>
      <c r="H29" s="102" t="e">
        <f t="shared" si="2"/>
        <v>#DIV/0!</v>
      </c>
    </row>
    <row r="30" spans="1:8" ht="27.75" customHeight="1">
      <c r="A30" s="100" t="s">
        <v>70</v>
      </c>
      <c r="B30" s="173">
        <v>1035</v>
      </c>
      <c r="C30" s="101">
        <f>-SUM('Розшифровка 2 до формування'!D50,'Розшифровка 2 до формування'!D95,'Розшифровка 2 до формування'!D153,'Розшифровка 2 до формування'!D190,'Розшифровка 2 до формування'!D211,'Розшифровка 2 до формування'!D240)</f>
        <v>-220.5</v>
      </c>
      <c r="D30" s="101">
        <f t="shared" si="5"/>
        <v>-562.6</v>
      </c>
      <c r="E30" s="101">
        <f>-SUM('Розшифровка 2 до формування'!E50,'Розшифровка 2 до формування'!E95,'Розшифровка 2 до формування'!E153,'Розшифровка 2 до формування'!E190,'Розшифровка 2 до формування'!E211,'Розшифровка 2 до формування'!E240)</f>
        <v>-413</v>
      </c>
      <c r="F30" s="83">
        <f>-SUM('Розшифровка 2 до формування'!F50,'Розшифровка 2 до формування'!F95,'Розшифровка 2 до формування'!F153,'Розшифровка 2 до формування'!F190,'Розшифровка 2 до формування'!F211,'Розшифровка 2 до формування'!F240)</f>
        <v>-562.6</v>
      </c>
      <c r="G30" s="101">
        <f t="shared" si="1"/>
        <v>-149.60000000000002</v>
      </c>
      <c r="H30" s="101">
        <f t="shared" si="2"/>
        <v>136.22276029055692</v>
      </c>
    </row>
    <row r="31" spans="1:8" ht="47.25" customHeight="1">
      <c r="A31" s="97" t="s">
        <v>1</v>
      </c>
      <c r="B31" s="173">
        <v>1100</v>
      </c>
      <c r="C31" s="83">
        <f>SUM(C15,C16,C22,C25)</f>
        <v>7135.099999999994</v>
      </c>
      <c r="D31" s="83">
        <f>SUM(D15,D16,D22,D25)</f>
        <v>-952.09999999999627</v>
      </c>
      <c r="E31" s="83">
        <f>SUM(E15,E16,E22,E25)</f>
        <v>-9459.9999999999782</v>
      </c>
      <c r="F31" s="83">
        <f t="shared" si="0"/>
        <v>-952.09999999999627</v>
      </c>
      <c r="G31" s="83">
        <f t="shared" si="1"/>
        <v>8507.8999999999814</v>
      </c>
      <c r="H31" s="83">
        <f t="shared" si="2"/>
        <v>10.064482029598294</v>
      </c>
    </row>
    <row r="32" spans="1:8" ht="27.75" customHeight="1">
      <c r="A32" s="97" t="s">
        <v>123</v>
      </c>
      <c r="B32" s="98">
        <v>1130</v>
      </c>
      <c r="C32" s="83">
        <f>'Розшифровка 1 до Формування'!D17</f>
        <v>1413.9</v>
      </c>
      <c r="D32" s="83">
        <f>F32</f>
        <v>1990.7</v>
      </c>
      <c r="E32" s="83">
        <f>'Розшифровка 1 до Формування'!E17</f>
        <v>1210</v>
      </c>
      <c r="F32" s="83">
        <f>'Розшифровка 1 до Формування'!F17</f>
        <v>1990.7</v>
      </c>
      <c r="G32" s="83">
        <f t="shared" si="1"/>
        <v>780.7</v>
      </c>
      <c r="H32" s="83">
        <f t="shared" si="2"/>
        <v>164.52066115702479</v>
      </c>
    </row>
    <row r="33" spans="1:11" ht="27.75" customHeight="1">
      <c r="A33" s="103" t="s">
        <v>124</v>
      </c>
      <c r="B33" s="98">
        <v>1140</v>
      </c>
      <c r="C33" s="83" t="s">
        <v>26</v>
      </c>
      <c r="D33" s="83" t="s">
        <v>26</v>
      </c>
      <c r="E33" s="101" t="s">
        <v>26</v>
      </c>
      <c r="F33" s="83" t="str">
        <f t="shared" si="0"/>
        <v>(    )</v>
      </c>
      <c r="G33" s="104" t="e">
        <f t="shared" si="1"/>
        <v>#VALUE!</v>
      </c>
      <c r="H33" s="104" t="e">
        <f t="shared" si="2"/>
        <v>#VALUE!</v>
      </c>
    </row>
    <row r="34" spans="1:11" ht="27.75" customHeight="1">
      <c r="A34" s="97" t="s">
        <v>125</v>
      </c>
      <c r="B34" s="98">
        <v>1150</v>
      </c>
      <c r="C34" s="83">
        <f>'Розшифровка 1 до Формування'!D19</f>
        <v>6057.6</v>
      </c>
      <c r="D34" s="83">
        <f>F34</f>
        <v>7909.6</v>
      </c>
      <c r="E34" s="83">
        <f>'Розшифровка 1 до Формування'!E19</f>
        <v>8250</v>
      </c>
      <c r="F34" s="83">
        <f>'Розшифровка 1 до Формування'!F19</f>
        <v>7909.6</v>
      </c>
      <c r="G34" s="83">
        <f t="shared" si="1"/>
        <v>-340.39999999999964</v>
      </c>
      <c r="H34" s="83">
        <f t="shared" si="2"/>
        <v>95.873939393939395</v>
      </c>
    </row>
    <row r="35" spans="1:11" ht="27.75" customHeight="1">
      <c r="A35" s="97" t="s">
        <v>126</v>
      </c>
      <c r="B35" s="98">
        <v>1160</v>
      </c>
      <c r="C35" s="83" t="s">
        <v>26</v>
      </c>
      <c r="D35" s="83" t="s">
        <v>26</v>
      </c>
      <c r="E35" s="101" t="s">
        <v>26</v>
      </c>
      <c r="F35" s="83" t="str">
        <f t="shared" si="0"/>
        <v>(    )</v>
      </c>
      <c r="G35" s="104" t="e">
        <f t="shared" si="1"/>
        <v>#VALUE!</v>
      </c>
      <c r="H35" s="104" t="e">
        <f t="shared" si="2"/>
        <v>#VALUE!</v>
      </c>
    </row>
    <row r="36" spans="1:11" ht="28.5" customHeight="1">
      <c r="A36" s="97" t="s">
        <v>15</v>
      </c>
      <c r="B36" s="98">
        <v>1170</v>
      </c>
      <c r="C36" s="83">
        <f>SUM(C31, C32:C35)</f>
        <v>14606.599999999995</v>
      </c>
      <c r="D36" s="83">
        <f>SUM(D31, D32:D35)</f>
        <v>8948.2000000000044</v>
      </c>
      <c r="E36" s="83">
        <f>SUM(E31, E32:E35)</f>
        <v>2.1827872842550278E-11</v>
      </c>
      <c r="F36" s="83">
        <f t="shared" si="0"/>
        <v>8948.2000000000044</v>
      </c>
      <c r="G36" s="83">
        <f t="shared" si="1"/>
        <v>8948.1999999999825</v>
      </c>
      <c r="H36" s="104">
        <f t="shared" si="2"/>
        <v>4.0994374781938368E+16</v>
      </c>
    </row>
    <row r="37" spans="1:11" ht="27.75" customHeight="1">
      <c r="A37" s="103" t="s">
        <v>28</v>
      </c>
      <c r="B37" s="173">
        <v>1180</v>
      </c>
      <c r="C37" s="101" t="s">
        <v>26</v>
      </c>
      <c r="D37" s="101" t="s">
        <v>26</v>
      </c>
      <c r="E37" s="101" t="s">
        <v>26</v>
      </c>
      <c r="F37" s="83" t="str">
        <f t="shared" si="0"/>
        <v>(    )</v>
      </c>
      <c r="G37" s="102" t="e">
        <f t="shared" si="1"/>
        <v>#VALUE!</v>
      </c>
      <c r="H37" s="102" t="e">
        <f t="shared" si="2"/>
        <v>#VALUE!</v>
      </c>
    </row>
    <row r="38" spans="1:11" ht="27" customHeight="1">
      <c r="A38" s="103" t="s">
        <v>29</v>
      </c>
      <c r="B38" s="173">
        <v>1181</v>
      </c>
      <c r="C38" s="101"/>
      <c r="D38" s="101"/>
      <c r="E38" s="101"/>
      <c r="F38" s="83">
        <f>D38</f>
        <v>0</v>
      </c>
      <c r="G38" s="104">
        <f t="shared" si="1"/>
        <v>0</v>
      </c>
      <c r="H38" s="102" t="e">
        <f t="shared" si="2"/>
        <v>#DIV/0!</v>
      </c>
    </row>
    <row r="39" spans="1:11" ht="28.5" customHeight="1">
      <c r="A39" s="97" t="s">
        <v>46</v>
      </c>
      <c r="B39" s="173">
        <v>1200</v>
      </c>
      <c r="C39" s="83">
        <f>SUM(C36:C38)</f>
        <v>14606.599999999995</v>
      </c>
      <c r="D39" s="83">
        <f>SUM(D36:D38)</f>
        <v>8948.2000000000044</v>
      </c>
      <c r="E39" s="83">
        <f>SUM(E36:E38)</f>
        <v>2.1827872842550278E-11</v>
      </c>
      <c r="F39" s="83">
        <f t="shared" si="0"/>
        <v>8948.2000000000044</v>
      </c>
      <c r="G39" s="83">
        <f t="shared" si="1"/>
        <v>8948.1999999999825</v>
      </c>
      <c r="H39" s="104">
        <f t="shared" si="2"/>
        <v>4.0994374781938368E+16</v>
      </c>
    </row>
    <row r="40" spans="1:11" ht="35.25" customHeight="1">
      <c r="A40" s="103" t="s">
        <v>47</v>
      </c>
      <c r="B40" s="173">
        <v>1201</v>
      </c>
      <c r="C40" s="101">
        <f>C39</f>
        <v>14606.599999999995</v>
      </c>
      <c r="D40" s="101">
        <f t="shared" ref="D40:F40" si="6">D39</f>
        <v>8948.2000000000044</v>
      </c>
      <c r="E40" s="101">
        <f t="shared" si="6"/>
        <v>2.1827872842550278E-11</v>
      </c>
      <c r="F40" s="83">
        <f t="shared" si="6"/>
        <v>8948.2000000000044</v>
      </c>
      <c r="G40" s="102">
        <f t="shared" si="1"/>
        <v>8948.1999999999825</v>
      </c>
      <c r="H40" s="102">
        <f t="shared" si="2"/>
        <v>4.0994374781938368E+16</v>
      </c>
    </row>
    <row r="41" spans="1:11" ht="33" customHeight="1">
      <c r="A41" s="103" t="s">
        <v>48</v>
      </c>
      <c r="B41" s="173">
        <v>1202</v>
      </c>
      <c r="C41" s="101"/>
      <c r="D41" s="101" t="s">
        <v>26</v>
      </c>
      <c r="E41" s="101" t="s">
        <v>26</v>
      </c>
      <c r="F41" s="83" t="str">
        <f>D41</f>
        <v>(    )</v>
      </c>
      <c r="G41" s="102" t="e">
        <f t="shared" si="1"/>
        <v>#VALUE!</v>
      </c>
      <c r="H41" s="102" t="e">
        <f t="shared" si="2"/>
        <v>#VALUE!</v>
      </c>
      <c r="J41" s="105"/>
    </row>
    <row r="42" spans="1:11" ht="33" customHeight="1">
      <c r="A42" s="97" t="s">
        <v>116</v>
      </c>
      <c r="B42" s="98">
        <v>1210</v>
      </c>
      <c r="C42" s="83">
        <f>SUM(C8,C22,C32,C34,C38)</f>
        <v>143772.20000000001</v>
      </c>
      <c r="D42" s="83">
        <f>SUM(D8,D22,D32,D34,D38)</f>
        <v>151743.1</v>
      </c>
      <c r="E42" s="83">
        <f>SUM(E8,E22,E32,E34,E38)</f>
        <v>145234.4</v>
      </c>
      <c r="F42" s="83">
        <f t="shared" si="0"/>
        <v>151743.1</v>
      </c>
      <c r="G42" s="83">
        <f t="shared" si="1"/>
        <v>6508.7000000000116</v>
      </c>
      <c r="H42" s="83">
        <f t="shared" si="2"/>
        <v>104.4815140214715</v>
      </c>
      <c r="I42" s="105"/>
      <c r="J42" s="105"/>
      <c r="K42" s="105"/>
    </row>
    <row r="43" spans="1:11" ht="33" customHeight="1">
      <c r="A43" s="97" t="s">
        <v>117</v>
      </c>
      <c r="B43" s="98">
        <v>1220</v>
      </c>
      <c r="C43" s="83">
        <f>SUM(C9,C16,C25,C33,C35,C37)</f>
        <v>-129165.6</v>
      </c>
      <c r="D43" s="83">
        <f>SUM(D9,D16,D25,D33,D35,D37)</f>
        <v>-142794.9</v>
      </c>
      <c r="E43" s="83">
        <f>SUM(E9,E16,E25,E33,E35,E37)</f>
        <v>-145234.4</v>
      </c>
      <c r="F43" s="83">
        <f t="shared" si="0"/>
        <v>-142794.9</v>
      </c>
      <c r="G43" s="83">
        <f t="shared" si="1"/>
        <v>2439.5</v>
      </c>
      <c r="H43" s="83">
        <f t="shared" si="2"/>
        <v>98.32030152636014</v>
      </c>
      <c r="I43" s="105"/>
    </row>
    <row r="44" spans="1:11" ht="33" customHeight="1">
      <c r="A44" s="197" t="s">
        <v>131</v>
      </c>
      <c r="B44" s="197"/>
      <c r="C44" s="197"/>
      <c r="D44" s="197"/>
      <c r="E44" s="197"/>
      <c r="F44" s="197"/>
      <c r="G44" s="197"/>
      <c r="H44" s="197"/>
      <c r="J44" s="105"/>
      <c r="K44" s="105"/>
    </row>
    <row r="45" spans="1:11" ht="33" customHeight="1">
      <c r="A45" s="100" t="s">
        <v>56</v>
      </c>
      <c r="B45" s="174">
        <v>9000</v>
      </c>
      <c r="C45" s="101">
        <f>-(C10+C17)</f>
        <v>23700.199999999997</v>
      </c>
      <c r="D45" s="101">
        <f t="shared" ref="D45:F45" si="7">-(D10+D17)</f>
        <v>25833.699999999997</v>
      </c>
      <c r="E45" s="101">
        <f t="shared" si="7"/>
        <v>23408</v>
      </c>
      <c r="F45" s="101">
        <f t="shared" si="7"/>
        <v>25833.699999999997</v>
      </c>
      <c r="G45" s="106">
        <f t="shared" ref="G45:G50" si="8">F45-E45</f>
        <v>2425.6999999999971</v>
      </c>
      <c r="H45" s="106">
        <f t="shared" ref="H45:H50" si="9">(F45/E45)*100</f>
        <v>110.3626965140123</v>
      </c>
    </row>
    <row r="46" spans="1:11" ht="33" customHeight="1">
      <c r="A46" s="100" t="s">
        <v>2</v>
      </c>
      <c r="B46" s="174">
        <v>9010</v>
      </c>
      <c r="C46" s="101">
        <f>-(C11+C18+C27)</f>
        <v>72288.899999999994</v>
      </c>
      <c r="D46" s="101">
        <f t="shared" ref="D46:F46" si="10">-(D11+D18+D27)</f>
        <v>76436.7</v>
      </c>
      <c r="E46" s="101">
        <f t="shared" si="10"/>
        <v>78002.400000000009</v>
      </c>
      <c r="F46" s="101">
        <f t="shared" si="10"/>
        <v>76436.7</v>
      </c>
      <c r="G46" s="106">
        <f t="shared" si="8"/>
        <v>-1565.7000000000116</v>
      </c>
      <c r="H46" s="106">
        <f t="shared" si="9"/>
        <v>97.992754069105544</v>
      </c>
      <c r="I46" s="105"/>
    </row>
    <row r="47" spans="1:11" ht="33" customHeight="1">
      <c r="A47" s="100" t="s">
        <v>3</v>
      </c>
      <c r="B47" s="174">
        <v>9020</v>
      </c>
      <c r="C47" s="101">
        <f>-(C12+C19+C28)</f>
        <v>15274.7</v>
      </c>
      <c r="D47" s="101">
        <f t="shared" ref="D47:F47" si="11">-(D12+D19+D28)</f>
        <v>16215.099999999999</v>
      </c>
      <c r="E47" s="101">
        <f t="shared" si="11"/>
        <v>17938.3</v>
      </c>
      <c r="F47" s="101">
        <f t="shared" si="11"/>
        <v>16215.099999999999</v>
      </c>
      <c r="G47" s="106">
        <f t="shared" si="8"/>
        <v>-1723.2000000000007</v>
      </c>
      <c r="H47" s="106">
        <f t="shared" si="9"/>
        <v>90.393738537096596</v>
      </c>
    </row>
    <row r="48" spans="1:11" ht="33" customHeight="1">
      <c r="A48" s="100" t="s">
        <v>4</v>
      </c>
      <c r="B48" s="174">
        <v>9030</v>
      </c>
      <c r="C48" s="101">
        <f>-(C13+C20)</f>
        <v>6456.2000000000007</v>
      </c>
      <c r="D48" s="101">
        <f t="shared" ref="D48:F48" si="12">-(D13+D20)</f>
        <v>8817.7000000000007</v>
      </c>
      <c r="E48" s="101">
        <f t="shared" si="12"/>
        <v>8250</v>
      </c>
      <c r="F48" s="101">
        <f t="shared" si="12"/>
        <v>8817.7000000000007</v>
      </c>
      <c r="G48" s="106">
        <f t="shared" si="8"/>
        <v>567.70000000000073</v>
      </c>
      <c r="H48" s="106">
        <f t="shared" si="9"/>
        <v>106.88121212121213</v>
      </c>
    </row>
    <row r="49" spans="1:8" ht="33" customHeight="1">
      <c r="A49" s="100" t="s">
        <v>6</v>
      </c>
      <c r="B49" s="174">
        <v>9040</v>
      </c>
      <c r="C49" s="101">
        <f>-(C14+C21+C30)</f>
        <v>11445.6</v>
      </c>
      <c r="D49" s="101">
        <f t="shared" ref="D49:F49" si="13">-(D14+D21+D30)</f>
        <v>15491.7</v>
      </c>
      <c r="E49" s="101">
        <f t="shared" si="13"/>
        <v>17635.7</v>
      </c>
      <c r="F49" s="101">
        <f t="shared" si="13"/>
        <v>15491.7</v>
      </c>
      <c r="G49" s="106">
        <f t="shared" si="8"/>
        <v>-2144</v>
      </c>
      <c r="H49" s="106">
        <f t="shared" si="9"/>
        <v>87.84284150898462</v>
      </c>
    </row>
    <row r="50" spans="1:8" ht="33" customHeight="1">
      <c r="A50" s="107" t="s">
        <v>9</v>
      </c>
      <c r="B50" s="172">
        <v>9050</v>
      </c>
      <c r="C50" s="83">
        <f>SUM(C45:C49)</f>
        <v>129165.59999999999</v>
      </c>
      <c r="D50" s="83">
        <f>SUM(D45:D49)</f>
        <v>142794.9</v>
      </c>
      <c r="E50" s="83">
        <f>SUM(E45:E49)</f>
        <v>145234.40000000002</v>
      </c>
      <c r="F50" s="83">
        <f>SUM(F45:F49)</f>
        <v>142794.9</v>
      </c>
      <c r="G50" s="108">
        <f t="shared" si="8"/>
        <v>-2439.5000000000291</v>
      </c>
      <c r="H50" s="108">
        <f t="shared" si="9"/>
        <v>98.320301526360126</v>
      </c>
    </row>
    <row r="51" spans="1:8" ht="33" customHeight="1">
      <c r="A51" s="192" t="s">
        <v>99</v>
      </c>
      <c r="B51" s="192"/>
      <c r="C51" s="192"/>
      <c r="D51" s="192"/>
      <c r="E51" s="192"/>
      <c r="F51" s="192"/>
      <c r="G51" s="192"/>
      <c r="H51" s="192"/>
    </row>
    <row r="52" spans="1:8" ht="69" customHeight="1">
      <c r="A52" s="109" t="s">
        <v>135</v>
      </c>
      <c r="B52" s="98">
        <v>2110</v>
      </c>
      <c r="C52" s="83">
        <f>SUM(C53:C56)</f>
        <v>-1193.7</v>
      </c>
      <c r="D52" s="83">
        <f>SUM(D53:D56)</f>
        <v>-3966.7350000000001</v>
      </c>
      <c r="E52" s="83">
        <f>SUM(E53:E56)</f>
        <v>-4005.1</v>
      </c>
      <c r="F52" s="83">
        <f>SUM(F53:F56)</f>
        <v>-3966.7350000000001</v>
      </c>
      <c r="G52" s="83">
        <f t="shared" ref="G52:G68" si="14">F52-E52</f>
        <v>38.364999999999782</v>
      </c>
      <c r="H52" s="83">
        <f>(F52/E52)*100</f>
        <v>99.042096327182847</v>
      </c>
    </row>
    <row r="53" spans="1:8" ht="44.25" customHeight="1">
      <c r="A53" s="100" t="s">
        <v>53</v>
      </c>
      <c r="B53" s="173">
        <v>2111</v>
      </c>
      <c r="C53" s="101">
        <v>-109.4</v>
      </c>
      <c r="D53" s="101">
        <v>-144.9</v>
      </c>
      <c r="E53" s="101">
        <v>-105</v>
      </c>
      <c r="F53" s="101">
        <f>D53</f>
        <v>-144.9</v>
      </c>
      <c r="G53" s="101">
        <f t="shared" si="14"/>
        <v>-39.900000000000006</v>
      </c>
      <c r="H53" s="101">
        <f t="shared" ref="H53:H68" si="15">(F53/E53)*100</f>
        <v>138</v>
      </c>
    </row>
    <row r="54" spans="1:8" ht="48.75" customHeight="1">
      <c r="A54" s="110" t="s">
        <v>54</v>
      </c>
      <c r="B54" s="173">
        <v>2112</v>
      </c>
      <c r="C54" s="101" t="s">
        <v>26</v>
      </c>
      <c r="D54" s="101" t="s">
        <v>26</v>
      </c>
      <c r="E54" s="101"/>
      <c r="F54" s="101" t="s">
        <v>26</v>
      </c>
      <c r="G54" s="102" t="e">
        <f t="shared" si="14"/>
        <v>#VALUE!</v>
      </c>
      <c r="H54" s="102" t="e">
        <f t="shared" si="15"/>
        <v>#VALUE!</v>
      </c>
    </row>
    <row r="55" spans="1:8" ht="28.5" customHeight="1">
      <c r="A55" s="100" t="s">
        <v>61</v>
      </c>
      <c r="B55" s="173">
        <v>2113</v>
      </c>
      <c r="C55" s="101">
        <v>-1084.3</v>
      </c>
      <c r="D55" s="101">
        <f>-D46*5/100</f>
        <v>-3821.835</v>
      </c>
      <c r="E55" s="101" t="s">
        <v>530</v>
      </c>
      <c r="F55" s="101">
        <f>D55</f>
        <v>-3821.835</v>
      </c>
      <c r="G55" s="102" t="e">
        <f t="shared" si="14"/>
        <v>#VALUE!</v>
      </c>
      <c r="H55" s="102" t="e">
        <f t="shared" si="15"/>
        <v>#VALUE!</v>
      </c>
    </row>
    <row r="56" spans="1:8" ht="33" customHeight="1">
      <c r="A56" s="100" t="s">
        <v>40</v>
      </c>
      <c r="B56" s="173">
        <v>2114</v>
      </c>
      <c r="C56" s="101" t="s">
        <v>26</v>
      </c>
      <c r="D56" s="101" t="s">
        <v>26</v>
      </c>
      <c r="E56" s="101">
        <v>-3900.1</v>
      </c>
      <c r="F56" s="101" t="s">
        <v>26</v>
      </c>
      <c r="G56" s="102" t="e">
        <f t="shared" si="14"/>
        <v>#VALUE!</v>
      </c>
      <c r="H56" s="102" t="e">
        <f t="shared" si="15"/>
        <v>#VALUE!</v>
      </c>
    </row>
    <row r="57" spans="1:8" ht="43.5" customHeight="1">
      <c r="A57" s="111" t="s">
        <v>58</v>
      </c>
      <c r="B57" s="172">
        <v>2120</v>
      </c>
      <c r="C57" s="83">
        <f>SUM(C58:C63)</f>
        <v>-13013.1</v>
      </c>
      <c r="D57" s="83">
        <f>SUM(D58:D63)</f>
        <v>-13891.805999999999</v>
      </c>
      <c r="E57" s="83">
        <f>SUM(E58:E63)</f>
        <v>-14190.1</v>
      </c>
      <c r="F57" s="83">
        <f>SUM(F58:F63)</f>
        <v>-13891.805999999999</v>
      </c>
      <c r="G57" s="83">
        <f t="shared" si="14"/>
        <v>298.29400000000169</v>
      </c>
      <c r="H57" s="83">
        <f t="shared" si="15"/>
        <v>97.897872460377286</v>
      </c>
    </row>
    <row r="58" spans="1:8" ht="36" customHeight="1">
      <c r="A58" s="110" t="s">
        <v>38</v>
      </c>
      <c r="B58" s="174">
        <v>2121</v>
      </c>
      <c r="C58" s="101" t="s">
        <v>26</v>
      </c>
      <c r="D58" s="101" t="s">
        <v>26</v>
      </c>
      <c r="E58" s="101" t="s">
        <v>26</v>
      </c>
      <c r="F58" s="101" t="s">
        <v>26</v>
      </c>
      <c r="G58" s="102" t="e">
        <f t="shared" si="14"/>
        <v>#VALUE!</v>
      </c>
      <c r="H58" s="102" t="e">
        <f t="shared" si="15"/>
        <v>#VALUE!</v>
      </c>
    </row>
    <row r="59" spans="1:8" ht="33.75" customHeight="1">
      <c r="A59" s="100" t="s">
        <v>14</v>
      </c>
      <c r="B59" s="174">
        <v>2122</v>
      </c>
      <c r="C59" s="101">
        <v>-13012</v>
      </c>
      <c r="D59" s="101">
        <f>-D46*18/100</f>
        <v>-13758.605999999998</v>
      </c>
      <c r="E59" s="101">
        <v>-14040.4</v>
      </c>
      <c r="F59" s="101">
        <f>D59</f>
        <v>-13758.605999999998</v>
      </c>
      <c r="G59" s="101">
        <f t="shared" si="14"/>
        <v>281.79400000000169</v>
      </c>
      <c r="H59" s="101">
        <f>(F59/E59)*100</f>
        <v>97.992977408051047</v>
      </c>
    </row>
    <row r="60" spans="1:8" ht="31.5" customHeight="1">
      <c r="A60" s="100" t="s">
        <v>44</v>
      </c>
      <c r="B60" s="174">
        <v>2123</v>
      </c>
      <c r="C60" s="101">
        <v>-1.1000000000000001</v>
      </c>
      <c r="D60" s="101">
        <v>-133.19999999999999</v>
      </c>
      <c r="E60" s="101">
        <v>-149.69999999999999</v>
      </c>
      <c r="F60" s="101">
        <f>D60</f>
        <v>-133.19999999999999</v>
      </c>
      <c r="G60" s="102">
        <f t="shared" si="14"/>
        <v>16.5</v>
      </c>
      <c r="H60" s="102">
        <f t="shared" si="15"/>
        <v>88.977955911823642</v>
      </c>
    </row>
    <row r="61" spans="1:8" ht="31.5" customHeight="1">
      <c r="A61" s="100" t="s">
        <v>45</v>
      </c>
      <c r="B61" s="174">
        <v>2124</v>
      </c>
      <c r="C61" s="101" t="s">
        <v>26</v>
      </c>
      <c r="D61" s="101" t="s">
        <v>26</v>
      </c>
      <c r="E61" s="101" t="s">
        <v>26</v>
      </c>
      <c r="F61" s="101" t="s">
        <v>26</v>
      </c>
      <c r="G61" s="102" t="e">
        <f t="shared" si="14"/>
        <v>#VALUE!</v>
      </c>
      <c r="H61" s="102" t="e">
        <f t="shared" si="15"/>
        <v>#VALUE!</v>
      </c>
    </row>
    <row r="62" spans="1:8" ht="103.5" customHeight="1">
      <c r="A62" s="100" t="s">
        <v>237</v>
      </c>
      <c r="B62" s="174">
        <v>2125</v>
      </c>
      <c r="C62" s="101" t="s">
        <v>26</v>
      </c>
      <c r="D62" s="101" t="s">
        <v>26</v>
      </c>
      <c r="E62" s="101" t="s">
        <v>26</v>
      </c>
      <c r="F62" s="101" t="s">
        <v>26</v>
      </c>
      <c r="G62" s="102" t="e">
        <f t="shared" si="14"/>
        <v>#VALUE!</v>
      </c>
      <c r="H62" s="102" t="e">
        <f t="shared" si="15"/>
        <v>#VALUE!</v>
      </c>
    </row>
    <row r="63" spans="1:8" ht="31.5" customHeight="1">
      <c r="A63" s="100" t="s">
        <v>40</v>
      </c>
      <c r="B63" s="174">
        <v>2126</v>
      </c>
      <c r="C63" s="101" t="s">
        <v>26</v>
      </c>
      <c r="D63" s="101" t="s">
        <v>26</v>
      </c>
      <c r="E63" s="101" t="s">
        <v>26</v>
      </c>
      <c r="F63" s="101" t="s">
        <v>26</v>
      </c>
      <c r="G63" s="102" t="e">
        <f t="shared" si="14"/>
        <v>#VALUE!</v>
      </c>
      <c r="H63" s="102" t="e">
        <f t="shared" si="15"/>
        <v>#VALUE!</v>
      </c>
    </row>
    <row r="64" spans="1:8" ht="48" customHeight="1">
      <c r="A64" s="109" t="s">
        <v>59</v>
      </c>
      <c r="B64" s="172">
        <v>2130</v>
      </c>
      <c r="C64" s="83">
        <f>SUM(C65:C67)</f>
        <v>-15470</v>
      </c>
      <c r="D64" s="83">
        <f>SUM(D65:D67)</f>
        <v>-16583.5</v>
      </c>
      <c r="E64" s="83">
        <f>SUM(E65:E67)</f>
        <v>-18124.599999999999</v>
      </c>
      <c r="F64" s="83">
        <f>SUM(F65:F67)</f>
        <v>-16583.5</v>
      </c>
      <c r="G64" s="83">
        <f t="shared" si="14"/>
        <v>1541.0999999999985</v>
      </c>
      <c r="H64" s="83">
        <f t="shared" si="15"/>
        <v>91.49719166216083</v>
      </c>
    </row>
    <row r="65" spans="1:9" ht="33" customHeight="1">
      <c r="A65" s="100" t="s">
        <v>41</v>
      </c>
      <c r="B65" s="174">
        <v>2131</v>
      </c>
      <c r="C65" s="101" t="s">
        <v>26</v>
      </c>
      <c r="D65" s="101" t="s">
        <v>26</v>
      </c>
      <c r="E65" s="101" t="s">
        <v>26</v>
      </c>
      <c r="F65" s="101" t="s">
        <v>26</v>
      </c>
      <c r="G65" s="102" t="e">
        <f t="shared" si="14"/>
        <v>#VALUE!</v>
      </c>
      <c r="H65" s="102" t="e">
        <f t="shared" si="15"/>
        <v>#VALUE!</v>
      </c>
    </row>
    <row r="66" spans="1:9" ht="44.25" customHeight="1">
      <c r="A66" s="100" t="s">
        <v>42</v>
      </c>
      <c r="B66" s="174">
        <v>2132</v>
      </c>
      <c r="C66" s="101">
        <f>-C47</f>
        <v>-15274.7</v>
      </c>
      <c r="D66" s="149">
        <f t="shared" ref="D66:F66" si="16">-D47</f>
        <v>-16215.099999999999</v>
      </c>
      <c r="E66" s="101">
        <f t="shared" si="16"/>
        <v>-17938.3</v>
      </c>
      <c r="F66" s="101">
        <f t="shared" si="16"/>
        <v>-16215.099999999999</v>
      </c>
      <c r="G66" s="101">
        <f>F66-E66</f>
        <v>1723.2000000000007</v>
      </c>
      <c r="H66" s="101">
        <f t="shared" si="15"/>
        <v>90.393738537096596</v>
      </c>
    </row>
    <row r="67" spans="1:9" ht="35.25" customHeight="1">
      <c r="A67" s="100" t="s">
        <v>43</v>
      </c>
      <c r="B67" s="174">
        <v>2133</v>
      </c>
      <c r="C67" s="101">
        <v>-195.3</v>
      </c>
      <c r="D67" s="149">
        <v>-368.4</v>
      </c>
      <c r="E67" s="101">
        <v>-186.3</v>
      </c>
      <c r="F67" s="101">
        <f>D67</f>
        <v>-368.4</v>
      </c>
      <c r="G67" s="101">
        <f t="shared" si="14"/>
        <v>-182.09999999999997</v>
      </c>
      <c r="H67" s="101">
        <f t="shared" si="15"/>
        <v>197.74557165861509</v>
      </c>
      <c r="I67" s="87" t="s">
        <v>210</v>
      </c>
    </row>
    <row r="68" spans="1:9" ht="30.75" customHeight="1">
      <c r="A68" s="111" t="s">
        <v>55</v>
      </c>
      <c r="B68" s="172">
        <v>2200</v>
      </c>
      <c r="C68" s="83">
        <f>SUM(C52+C57+C64)</f>
        <v>-29676.800000000003</v>
      </c>
      <c r="D68" s="83">
        <f>SUM(D52+D57+D64)</f>
        <v>-34442.040999999997</v>
      </c>
      <c r="E68" s="83">
        <f>SUM(E52+E57+E64)</f>
        <v>-36319.800000000003</v>
      </c>
      <c r="F68" s="83">
        <f>SUM(F52+F57+F64)</f>
        <v>-34442.040999999997</v>
      </c>
      <c r="G68" s="83">
        <f t="shared" si="14"/>
        <v>1877.7590000000055</v>
      </c>
      <c r="H68" s="83">
        <f t="shared" si="15"/>
        <v>94.829930230893325</v>
      </c>
    </row>
    <row r="69" spans="1:9" ht="33" customHeight="1">
      <c r="A69" s="193" t="s">
        <v>100</v>
      </c>
      <c r="B69" s="193"/>
      <c r="C69" s="193"/>
      <c r="D69" s="193"/>
      <c r="E69" s="193"/>
      <c r="F69" s="193"/>
      <c r="G69" s="193"/>
      <c r="H69" s="193"/>
      <c r="I69" s="105"/>
    </row>
    <row r="70" spans="1:9" ht="27.75" customHeight="1">
      <c r="A70" s="97" t="s">
        <v>19</v>
      </c>
      <c r="B70" s="98">
        <v>4000</v>
      </c>
      <c r="C70" s="83">
        <f>SUM(C71:C77)</f>
        <v>-24676.899999999998</v>
      </c>
      <c r="D70" s="83">
        <f>SUM(D71:D77)</f>
        <v>-25209.200000000001</v>
      </c>
      <c r="E70" s="83">
        <f>SUM(E71:E77)</f>
        <v>-3000.6</v>
      </c>
      <c r="F70" s="83">
        <f>SUM(F71:F77)</f>
        <v>-25209.100000000002</v>
      </c>
      <c r="G70" s="83">
        <f>F70-E70</f>
        <v>-22208.500000000004</v>
      </c>
      <c r="H70" s="83">
        <f>(F70/E70)*100</f>
        <v>840.13530627207911</v>
      </c>
    </row>
    <row r="71" spans="1:9" ht="37.5" customHeight="1">
      <c r="A71" s="100" t="s">
        <v>62</v>
      </c>
      <c r="B71" s="173">
        <v>4010</v>
      </c>
      <c r="C71" s="101">
        <f>-'Розшифровка кап'!C6</f>
        <v>0</v>
      </c>
      <c r="D71" s="101">
        <v>-388</v>
      </c>
      <c r="E71" s="101">
        <f>'Розшифровка кап'!D6</f>
        <v>0</v>
      </c>
      <c r="F71" s="101">
        <f>D71</f>
        <v>-388</v>
      </c>
      <c r="G71" s="102">
        <f t="shared" ref="G71:G77" si="17">F71-E71</f>
        <v>-388</v>
      </c>
      <c r="H71" s="102" t="e">
        <f t="shared" ref="H71:H77" si="18">(F71/E71)*100</f>
        <v>#DIV/0!</v>
      </c>
    </row>
    <row r="72" spans="1:9" ht="48.75" customHeight="1">
      <c r="A72" s="100" t="s">
        <v>127</v>
      </c>
      <c r="B72" s="173">
        <v>4020</v>
      </c>
      <c r="C72" s="101">
        <f>-'Розшифровка кап'!C8</f>
        <v>-8133.7999999999975</v>
      </c>
      <c r="D72" s="101">
        <v>-20417.2</v>
      </c>
      <c r="E72" s="101">
        <f>-'Розшифровка кап'!D8</f>
        <v>-3000.6</v>
      </c>
      <c r="F72" s="101">
        <f>-'Розшифровка кап'!E8</f>
        <v>-20417.100000000002</v>
      </c>
      <c r="G72" s="101">
        <f t="shared" si="17"/>
        <v>-17416.500000000004</v>
      </c>
      <c r="H72" s="102">
        <f t="shared" si="18"/>
        <v>680.43391321735658</v>
      </c>
    </row>
    <row r="73" spans="1:9" ht="48.75" customHeight="1">
      <c r="A73" s="100" t="s">
        <v>71</v>
      </c>
      <c r="B73" s="173">
        <v>4030</v>
      </c>
      <c r="C73" s="101">
        <f>-'Розшифровка кап'!C99</f>
        <v>-1368.6</v>
      </c>
      <c r="D73" s="101">
        <v>-1294.2</v>
      </c>
      <c r="E73" s="101">
        <f>-'Розшифровка кап'!D99</f>
        <v>0</v>
      </c>
      <c r="F73" s="101">
        <f>-'Розшифровка кап'!E99</f>
        <v>-1294.1999999999998</v>
      </c>
      <c r="G73" s="101">
        <f t="shared" si="17"/>
        <v>-1294.1999999999998</v>
      </c>
      <c r="H73" s="102" t="e">
        <f t="shared" si="18"/>
        <v>#DIV/0!</v>
      </c>
    </row>
    <row r="74" spans="1:9" ht="49.5" customHeight="1">
      <c r="A74" s="100" t="s">
        <v>128</v>
      </c>
      <c r="B74" s="173">
        <v>4040</v>
      </c>
      <c r="C74" s="101" t="s">
        <v>26</v>
      </c>
      <c r="D74" s="101" t="s">
        <v>26</v>
      </c>
      <c r="E74" s="101" t="s">
        <v>26</v>
      </c>
      <c r="F74" s="101" t="s">
        <v>26</v>
      </c>
      <c r="G74" s="102" t="e">
        <f t="shared" si="17"/>
        <v>#VALUE!</v>
      </c>
      <c r="H74" s="102" t="e">
        <f t="shared" si="18"/>
        <v>#VALUE!</v>
      </c>
    </row>
    <row r="75" spans="1:9" ht="73.5" customHeight="1">
      <c r="A75" s="100" t="s">
        <v>63</v>
      </c>
      <c r="B75" s="173">
        <v>4050</v>
      </c>
      <c r="C75" s="101">
        <f>-'Розшифровка кап'!C313</f>
        <v>-2562.8000000000002</v>
      </c>
      <c r="D75" s="101" t="s">
        <v>26</v>
      </c>
      <c r="E75" s="101" t="s">
        <v>26</v>
      </c>
      <c r="F75" s="101" t="s">
        <v>26</v>
      </c>
      <c r="G75" s="102" t="e">
        <f t="shared" si="17"/>
        <v>#VALUE!</v>
      </c>
      <c r="H75" s="102" t="e">
        <f t="shared" si="18"/>
        <v>#VALUE!</v>
      </c>
    </row>
    <row r="76" spans="1:9" ht="36.75" customHeight="1">
      <c r="A76" s="100" t="s">
        <v>64</v>
      </c>
      <c r="B76" s="173">
        <v>4060</v>
      </c>
      <c r="C76" s="101">
        <f>-'Розшифровка кап'!C316</f>
        <v>-12611.7</v>
      </c>
      <c r="D76" s="101">
        <v>-3109.8</v>
      </c>
      <c r="E76" s="101">
        <f>-'Розшифровка кап'!D316</f>
        <v>0</v>
      </c>
      <c r="F76" s="101">
        <f>-'Розшифровка кап'!E316</f>
        <v>-3109.8</v>
      </c>
      <c r="G76" s="102">
        <f t="shared" si="17"/>
        <v>-3109.8</v>
      </c>
      <c r="H76" s="102" t="e">
        <f t="shared" si="18"/>
        <v>#DIV/0!</v>
      </c>
    </row>
    <row r="77" spans="1:9" ht="39.75" customHeight="1">
      <c r="A77" s="100" t="s">
        <v>50</v>
      </c>
      <c r="B77" s="173">
        <v>4070</v>
      </c>
      <c r="C77" s="101" t="s">
        <v>26</v>
      </c>
      <c r="D77" s="101" t="s">
        <v>26</v>
      </c>
      <c r="E77" s="101" t="s">
        <v>26</v>
      </c>
      <c r="F77" s="101" t="s">
        <v>26</v>
      </c>
      <c r="G77" s="102" t="e">
        <f t="shared" si="17"/>
        <v>#VALUE!</v>
      </c>
      <c r="H77" s="102" t="e">
        <f t="shared" si="18"/>
        <v>#VALUE!</v>
      </c>
    </row>
    <row r="78" spans="1:9" ht="36.75" customHeight="1">
      <c r="A78" s="192" t="s">
        <v>101</v>
      </c>
      <c r="B78" s="192"/>
      <c r="C78" s="192"/>
      <c r="D78" s="192"/>
      <c r="E78" s="192"/>
      <c r="F78" s="192"/>
      <c r="G78" s="192"/>
      <c r="H78" s="192"/>
    </row>
    <row r="79" spans="1:9" ht="51.75" customHeight="1">
      <c r="A79" s="177"/>
      <c r="B79" s="177"/>
      <c r="C79" s="194" t="s">
        <v>121</v>
      </c>
      <c r="D79" s="194"/>
      <c r="E79" s="195" t="s">
        <v>517</v>
      </c>
      <c r="F79" s="195"/>
      <c r="G79" s="195"/>
      <c r="H79" s="195"/>
    </row>
    <row r="80" spans="1:9" ht="45" customHeight="1">
      <c r="A80" s="177"/>
      <c r="B80" s="177"/>
      <c r="C80" s="174" t="s">
        <v>516</v>
      </c>
      <c r="D80" s="174" t="s">
        <v>350</v>
      </c>
      <c r="E80" s="96" t="s">
        <v>107</v>
      </c>
      <c r="F80" s="96" t="s">
        <v>108</v>
      </c>
      <c r="G80" s="96" t="s">
        <v>109</v>
      </c>
      <c r="H80" s="96" t="s">
        <v>110</v>
      </c>
    </row>
    <row r="81" spans="1:18" s="175" customFormat="1" ht="86.25" customHeight="1">
      <c r="A81" s="111" t="s">
        <v>129</v>
      </c>
      <c r="B81" s="112" t="s">
        <v>30</v>
      </c>
      <c r="C81" s="113">
        <f>SUM(C82:C84)</f>
        <v>525</v>
      </c>
      <c r="D81" s="113">
        <f>SUM(D82:D84)</f>
        <v>510</v>
      </c>
      <c r="E81" s="113">
        <f>SUM(E82:E84)</f>
        <v>547</v>
      </c>
      <c r="F81" s="113">
        <f>SUM(F82:F84)</f>
        <v>510</v>
      </c>
      <c r="G81" s="114" t="s">
        <v>130</v>
      </c>
      <c r="H81" s="108" t="s">
        <v>130</v>
      </c>
      <c r="J81" s="115"/>
    </row>
    <row r="82" spans="1:18" ht="27.75" customHeight="1">
      <c r="A82" s="103" t="s">
        <v>21</v>
      </c>
      <c r="B82" s="173" t="s">
        <v>31</v>
      </c>
      <c r="C82" s="116">
        <v>1</v>
      </c>
      <c r="D82" s="116">
        <v>1</v>
      </c>
      <c r="E82" s="116">
        <v>1</v>
      </c>
      <c r="F82" s="116">
        <f>D82</f>
        <v>1</v>
      </c>
      <c r="G82" s="117" t="s">
        <v>130</v>
      </c>
      <c r="H82" s="106" t="s">
        <v>130</v>
      </c>
      <c r="K82" s="99"/>
      <c r="L82" s="99"/>
    </row>
    <row r="83" spans="1:18" ht="27.75" customHeight="1">
      <c r="A83" s="103" t="s">
        <v>24</v>
      </c>
      <c r="B83" s="173" t="s">
        <v>32</v>
      </c>
      <c r="C83" s="116">
        <v>42</v>
      </c>
      <c r="D83" s="116">
        <v>48</v>
      </c>
      <c r="E83" s="116">
        <v>51</v>
      </c>
      <c r="F83" s="116">
        <f>D83</f>
        <v>48</v>
      </c>
      <c r="G83" s="117" t="s">
        <v>130</v>
      </c>
      <c r="H83" s="106" t="s">
        <v>130</v>
      </c>
      <c r="J83" s="99"/>
      <c r="K83" s="99"/>
      <c r="L83" s="118"/>
    </row>
    <row r="84" spans="1:18" ht="27.75" customHeight="1">
      <c r="A84" s="103" t="s">
        <v>22</v>
      </c>
      <c r="B84" s="173" t="s">
        <v>33</v>
      </c>
      <c r="C84" s="116">
        <v>482</v>
      </c>
      <c r="D84" s="116">
        <v>461</v>
      </c>
      <c r="E84" s="116">
        <v>495</v>
      </c>
      <c r="F84" s="116">
        <f>D84</f>
        <v>461</v>
      </c>
      <c r="G84" s="117" t="s">
        <v>130</v>
      </c>
      <c r="H84" s="106" t="s">
        <v>130</v>
      </c>
      <c r="J84" s="99"/>
      <c r="K84" s="99"/>
      <c r="L84" s="118"/>
      <c r="M84" s="119"/>
      <c r="N84" s="120"/>
      <c r="O84" s="121"/>
      <c r="P84" s="121"/>
      <c r="Q84" s="121"/>
      <c r="R84" s="121"/>
    </row>
    <row r="85" spans="1:18" ht="27.75" customHeight="1">
      <c r="A85" s="97" t="s">
        <v>72</v>
      </c>
      <c r="B85" s="98" t="s">
        <v>34</v>
      </c>
      <c r="C85" s="122">
        <f>C46</f>
        <v>72288.899999999994</v>
      </c>
      <c r="D85" s="122">
        <f t="shared" ref="D85:F85" si="19">D46</f>
        <v>76436.7</v>
      </c>
      <c r="E85" s="122">
        <f>E46</f>
        <v>78002.400000000009</v>
      </c>
      <c r="F85" s="122">
        <f t="shared" si="19"/>
        <v>76436.7</v>
      </c>
      <c r="G85" s="108" t="s">
        <v>130</v>
      </c>
      <c r="H85" s="158" t="s">
        <v>130</v>
      </c>
      <c r="I85" s="159">
        <f>F85-E85</f>
        <v>-1565.7000000000116</v>
      </c>
      <c r="J85" s="99"/>
      <c r="K85" s="99"/>
      <c r="M85" s="123"/>
      <c r="N85" s="124"/>
      <c r="O85" s="125"/>
      <c r="P85" s="125"/>
      <c r="Q85" s="125"/>
      <c r="R85" s="125"/>
    </row>
    <row r="86" spans="1:18" ht="27.75" customHeight="1">
      <c r="A86" s="103" t="s">
        <v>21</v>
      </c>
      <c r="B86" s="173">
        <v>8011</v>
      </c>
      <c r="C86" s="153">
        <v>517.1</v>
      </c>
      <c r="D86" s="126">
        <v>648.9</v>
      </c>
      <c r="E86" s="160">
        <v>609.6</v>
      </c>
      <c r="F86" s="126">
        <f>D86</f>
        <v>648.9</v>
      </c>
      <c r="G86" s="106" t="s">
        <v>130</v>
      </c>
      <c r="H86" s="106" t="s">
        <v>130</v>
      </c>
      <c r="J86" s="99"/>
      <c r="K86" s="99"/>
      <c r="M86" s="123"/>
      <c r="N86" s="124"/>
      <c r="O86" s="125"/>
      <c r="P86" s="125"/>
      <c r="Q86" s="125"/>
      <c r="R86" s="125"/>
    </row>
    <row r="87" spans="1:18" ht="27.75" customHeight="1">
      <c r="A87" s="103" t="s">
        <v>24</v>
      </c>
      <c r="B87" s="173">
        <v>8012</v>
      </c>
      <c r="C87" s="153">
        <v>6390.4</v>
      </c>
      <c r="D87" s="126">
        <v>6818.5</v>
      </c>
      <c r="E87" s="160">
        <f>8503.3-163</f>
        <v>8340.2999999999993</v>
      </c>
      <c r="F87" s="126">
        <f>D87</f>
        <v>6818.5</v>
      </c>
      <c r="G87" s="106" t="s">
        <v>130</v>
      </c>
      <c r="H87" s="106" t="s">
        <v>130</v>
      </c>
      <c r="J87" s="99"/>
      <c r="K87" s="99"/>
      <c r="M87" s="123"/>
      <c r="N87" s="124"/>
      <c r="O87" s="125"/>
      <c r="P87" s="125"/>
      <c r="Q87" s="125"/>
      <c r="R87" s="125"/>
    </row>
    <row r="88" spans="1:18" ht="27.75" customHeight="1">
      <c r="A88" s="103" t="s">
        <v>22</v>
      </c>
      <c r="B88" s="173">
        <v>8013</v>
      </c>
      <c r="C88" s="153">
        <v>65381.4</v>
      </c>
      <c r="D88" s="126">
        <v>68969.3</v>
      </c>
      <c r="E88" s="160">
        <v>69052.5</v>
      </c>
      <c r="F88" s="126">
        <f>D88</f>
        <v>68969.3</v>
      </c>
      <c r="G88" s="106" t="s">
        <v>130</v>
      </c>
      <c r="H88" s="106" t="s">
        <v>130</v>
      </c>
      <c r="I88" s="105"/>
      <c r="J88" s="99"/>
      <c r="K88" s="99"/>
      <c r="M88" s="127"/>
      <c r="N88" s="128"/>
      <c r="O88" s="129"/>
      <c r="P88" s="129"/>
      <c r="Q88" s="129"/>
      <c r="R88" s="129"/>
    </row>
    <row r="89" spans="1:18" ht="27.75" customHeight="1">
      <c r="A89" s="97" t="s">
        <v>2</v>
      </c>
      <c r="B89" s="98">
        <v>8020</v>
      </c>
      <c r="C89" s="122">
        <f>SUM(C90:C92)</f>
        <v>72288.899999999994</v>
      </c>
      <c r="D89" s="122">
        <f t="shared" ref="D89:F89" si="20">SUM(D90:D92)</f>
        <v>76436.7</v>
      </c>
      <c r="E89" s="122">
        <f t="shared" si="20"/>
        <v>78002.399999999994</v>
      </c>
      <c r="F89" s="122">
        <f t="shared" si="20"/>
        <v>76436.7</v>
      </c>
      <c r="G89" s="108" t="s">
        <v>130</v>
      </c>
      <c r="H89" s="108" t="s">
        <v>130</v>
      </c>
      <c r="I89" s="105"/>
      <c r="J89" s="99"/>
      <c r="K89" s="99"/>
      <c r="M89" s="123"/>
      <c r="N89" s="124"/>
      <c r="O89" s="130"/>
      <c r="P89" s="130"/>
      <c r="Q89" s="130"/>
      <c r="R89" s="130"/>
    </row>
    <row r="90" spans="1:18" ht="27.75" customHeight="1">
      <c r="A90" s="103" t="s">
        <v>21</v>
      </c>
      <c r="B90" s="173">
        <v>8021</v>
      </c>
      <c r="C90" s="153">
        <f t="shared" ref="C90:E92" si="21">C86</f>
        <v>517.1</v>
      </c>
      <c r="D90" s="153">
        <f t="shared" ref="D90" si="22">D86</f>
        <v>648.9</v>
      </c>
      <c r="E90" s="160">
        <f t="shared" si="21"/>
        <v>609.6</v>
      </c>
      <c r="F90" s="126">
        <f>D90</f>
        <v>648.9</v>
      </c>
      <c r="G90" s="106" t="s">
        <v>130</v>
      </c>
      <c r="H90" s="106" t="s">
        <v>130</v>
      </c>
      <c r="I90" s="105"/>
      <c r="J90" s="99"/>
      <c r="K90" s="99"/>
      <c r="M90" s="123"/>
      <c r="N90" s="124"/>
      <c r="O90" s="130"/>
      <c r="P90" s="130"/>
      <c r="Q90" s="130"/>
      <c r="R90" s="130"/>
    </row>
    <row r="91" spans="1:18" ht="27.75" customHeight="1">
      <c r="A91" s="103" t="s">
        <v>24</v>
      </c>
      <c r="B91" s="173">
        <v>8022</v>
      </c>
      <c r="C91" s="153">
        <f t="shared" si="21"/>
        <v>6390.4</v>
      </c>
      <c r="D91" s="153">
        <f t="shared" ref="D91" si="23">D87</f>
        <v>6818.5</v>
      </c>
      <c r="E91" s="160">
        <f t="shared" si="21"/>
        <v>8340.2999999999993</v>
      </c>
      <c r="F91" s="126">
        <f>D91</f>
        <v>6818.5</v>
      </c>
      <c r="G91" s="106" t="s">
        <v>130</v>
      </c>
      <c r="H91" s="106" t="s">
        <v>130</v>
      </c>
      <c r="J91" s="99"/>
      <c r="K91" s="118"/>
      <c r="M91" s="123"/>
      <c r="N91" s="124"/>
      <c r="O91" s="130"/>
      <c r="P91" s="130"/>
      <c r="Q91" s="130"/>
      <c r="R91" s="130"/>
    </row>
    <row r="92" spans="1:18" ht="27.75" customHeight="1">
      <c r="A92" s="103" t="s">
        <v>22</v>
      </c>
      <c r="B92" s="173">
        <v>8023</v>
      </c>
      <c r="C92" s="153">
        <f t="shared" si="21"/>
        <v>65381.4</v>
      </c>
      <c r="D92" s="153">
        <f t="shared" ref="D92" si="24">D88</f>
        <v>68969.3</v>
      </c>
      <c r="E92" s="160">
        <f t="shared" si="21"/>
        <v>69052.5</v>
      </c>
      <c r="F92" s="126">
        <f>D92</f>
        <v>68969.3</v>
      </c>
      <c r="G92" s="106" t="s">
        <v>130</v>
      </c>
      <c r="H92" s="106" t="s">
        <v>130</v>
      </c>
      <c r="J92" s="99"/>
      <c r="M92" s="127"/>
      <c r="N92" s="128"/>
      <c r="O92" s="129"/>
      <c r="P92" s="129"/>
      <c r="Q92" s="129"/>
      <c r="R92" s="129"/>
    </row>
    <row r="93" spans="1:18" s="175" customFormat="1" ht="66" customHeight="1">
      <c r="A93" s="111" t="s">
        <v>49</v>
      </c>
      <c r="B93" s="112" t="s">
        <v>73</v>
      </c>
      <c r="C93" s="113">
        <f t="shared" ref="C93:F94" si="25">(C89/C81)/9*1000</f>
        <v>15299.238095238094</v>
      </c>
      <c r="D93" s="113">
        <f t="shared" si="25"/>
        <v>16652.875816993466</v>
      </c>
      <c r="E93" s="113">
        <f t="shared" si="25"/>
        <v>15844.485070079218</v>
      </c>
      <c r="F93" s="113">
        <f t="shared" si="25"/>
        <v>16652.875816993466</v>
      </c>
      <c r="G93" s="114" t="s">
        <v>130</v>
      </c>
      <c r="H93" s="108" t="s">
        <v>130</v>
      </c>
      <c r="I93" s="131"/>
      <c r="M93" s="123"/>
      <c r="N93" s="124"/>
      <c r="O93" s="130"/>
      <c r="P93" s="130"/>
      <c r="Q93" s="130"/>
      <c r="R93" s="130"/>
    </row>
    <row r="94" spans="1:18" ht="27.75" customHeight="1">
      <c r="A94" s="103" t="s">
        <v>21</v>
      </c>
      <c r="B94" s="173">
        <v>8031</v>
      </c>
      <c r="C94" s="116">
        <f t="shared" si="25"/>
        <v>57455.555555555555</v>
      </c>
      <c r="D94" s="116">
        <f t="shared" ref="D94:F94" si="26">(D90/D82)/9*1000</f>
        <v>72100</v>
      </c>
      <c r="E94" s="116">
        <f t="shared" si="26"/>
        <v>67733.333333333328</v>
      </c>
      <c r="F94" s="116">
        <f t="shared" si="26"/>
        <v>72100</v>
      </c>
      <c r="G94" s="117" t="s">
        <v>130</v>
      </c>
      <c r="H94" s="106" t="s">
        <v>130</v>
      </c>
      <c r="M94" s="123"/>
      <c r="N94" s="124"/>
      <c r="O94" s="130"/>
      <c r="P94" s="130"/>
      <c r="Q94" s="130"/>
      <c r="R94" s="130"/>
    </row>
    <row r="95" spans="1:18" ht="27.75" customHeight="1">
      <c r="A95" s="103" t="s">
        <v>24</v>
      </c>
      <c r="B95" s="173">
        <v>8032</v>
      </c>
      <c r="C95" s="116">
        <f t="shared" ref="C95:F95" si="27">(C91/C83)/9*1000</f>
        <v>16905.820105820105</v>
      </c>
      <c r="D95" s="116">
        <f t="shared" si="27"/>
        <v>15783.564814814818</v>
      </c>
      <c r="E95" s="116">
        <f t="shared" si="27"/>
        <v>18170.588235294119</v>
      </c>
      <c r="F95" s="116">
        <f t="shared" si="27"/>
        <v>15783.564814814818</v>
      </c>
      <c r="G95" s="117" t="s">
        <v>130</v>
      </c>
      <c r="H95" s="106" t="s">
        <v>130</v>
      </c>
      <c r="M95" s="123"/>
      <c r="N95" s="124"/>
      <c r="O95" s="130"/>
      <c r="P95" s="130"/>
      <c r="Q95" s="130"/>
      <c r="R95" s="130"/>
    </row>
    <row r="96" spans="1:18" ht="27.75" customHeight="1">
      <c r="A96" s="103" t="s">
        <v>22</v>
      </c>
      <c r="B96" s="173">
        <v>8033</v>
      </c>
      <c r="C96" s="116">
        <f t="shared" ref="C96:F96" si="28">(C92/C84)/9*1000</f>
        <v>15071.784232365146</v>
      </c>
      <c r="D96" s="116">
        <f t="shared" si="28"/>
        <v>16623.114003374307</v>
      </c>
      <c r="E96" s="116">
        <f t="shared" si="28"/>
        <v>15500</v>
      </c>
      <c r="F96" s="116">
        <f t="shared" si="28"/>
        <v>16623.114003374307</v>
      </c>
      <c r="G96" s="117" t="s">
        <v>130</v>
      </c>
      <c r="H96" s="106" t="s">
        <v>130</v>
      </c>
      <c r="M96" s="119"/>
      <c r="N96" s="120"/>
      <c r="O96" s="121"/>
      <c r="P96" s="121"/>
      <c r="Q96" s="121"/>
      <c r="R96" s="121"/>
    </row>
    <row r="97" spans="1:18" s="175" customFormat="1">
      <c r="A97" s="132"/>
      <c r="C97" s="161"/>
      <c r="D97" s="133"/>
      <c r="E97" s="134"/>
      <c r="F97" s="134"/>
      <c r="G97" s="134"/>
      <c r="H97" s="134"/>
      <c r="M97" s="123"/>
      <c r="N97" s="124"/>
      <c r="O97" s="125"/>
      <c r="P97" s="125"/>
      <c r="Q97" s="125"/>
      <c r="R97" s="125"/>
    </row>
    <row r="98" spans="1:18" s="175" customFormat="1">
      <c r="A98" s="132"/>
      <c r="C98" s="161"/>
      <c r="D98" s="133"/>
      <c r="E98" s="134"/>
      <c r="F98" s="134"/>
      <c r="G98" s="134"/>
      <c r="H98" s="134"/>
      <c r="M98" s="123"/>
      <c r="N98" s="124"/>
      <c r="O98" s="125"/>
      <c r="P98" s="125"/>
      <c r="Q98" s="125"/>
      <c r="R98" s="125"/>
    </row>
    <row r="99" spans="1:18" s="175" customFormat="1" ht="28.5" customHeight="1">
      <c r="A99" s="186" t="s">
        <v>211</v>
      </c>
      <c r="B99" s="135"/>
      <c r="C99" s="190"/>
      <c r="D99" s="191"/>
      <c r="E99" s="136"/>
      <c r="F99" s="136"/>
      <c r="G99" s="196" t="s">
        <v>186</v>
      </c>
      <c r="H99" s="196"/>
      <c r="I99" s="24"/>
      <c r="M99" s="123"/>
      <c r="N99" s="124"/>
      <c r="O99" s="125"/>
      <c r="P99" s="125"/>
      <c r="Q99" s="125"/>
      <c r="R99" s="125"/>
    </row>
    <row r="100" spans="1:18" s="175" customFormat="1">
      <c r="A100" s="175" t="s">
        <v>10</v>
      </c>
      <c r="B100" s="87"/>
      <c r="C100" s="188" t="s">
        <v>11</v>
      </c>
      <c r="D100" s="188"/>
      <c r="E100" s="176"/>
      <c r="F100" s="176"/>
      <c r="G100" s="189" t="s">
        <v>16</v>
      </c>
      <c r="H100" s="189"/>
    </row>
    <row r="101" spans="1:18" s="175" customFormat="1">
      <c r="A101" s="137"/>
      <c r="E101" s="87"/>
      <c r="F101" s="87"/>
      <c r="G101" s="87"/>
      <c r="H101" s="87"/>
    </row>
    <row r="102" spans="1:18" s="175" customFormat="1">
      <c r="A102" s="137"/>
      <c r="E102" s="87"/>
      <c r="F102" s="87"/>
      <c r="G102" s="87"/>
      <c r="H102" s="87"/>
    </row>
    <row r="103" spans="1:18" s="175" customFormat="1">
      <c r="A103" s="137"/>
      <c r="E103" s="87"/>
      <c r="F103" s="87"/>
      <c r="G103" s="87"/>
      <c r="H103" s="87"/>
    </row>
    <row r="104" spans="1:18" s="175" customFormat="1">
      <c r="A104" s="137"/>
      <c r="E104" s="87"/>
      <c r="F104" s="87"/>
      <c r="G104" s="87"/>
      <c r="H104" s="87"/>
    </row>
    <row r="105" spans="1:18" s="175" customFormat="1">
      <c r="A105" s="137"/>
      <c r="E105" s="87"/>
      <c r="F105" s="87"/>
      <c r="G105" s="87"/>
      <c r="H105" s="87"/>
    </row>
    <row r="106" spans="1:18" s="175" customFormat="1">
      <c r="A106" s="137"/>
      <c r="E106" s="87"/>
      <c r="F106" s="87"/>
      <c r="G106" s="87"/>
      <c r="H106" s="87"/>
    </row>
    <row r="107" spans="1:18" s="175" customFormat="1">
      <c r="A107" s="137"/>
      <c r="E107" s="87"/>
      <c r="F107" s="87"/>
      <c r="G107" s="87"/>
      <c r="H107" s="87"/>
    </row>
    <row r="108" spans="1:18" s="175" customFormat="1">
      <c r="A108" s="137"/>
      <c r="E108" s="87"/>
      <c r="F108" s="87"/>
      <c r="G108" s="87"/>
      <c r="H108" s="87"/>
    </row>
    <row r="109" spans="1:18" s="175" customFormat="1">
      <c r="A109" s="137"/>
      <c r="E109" s="87"/>
      <c r="F109" s="87"/>
      <c r="G109" s="87"/>
      <c r="H109" s="87"/>
    </row>
    <row r="110" spans="1:18" s="175" customFormat="1">
      <c r="A110" s="137"/>
      <c r="E110" s="87"/>
      <c r="F110" s="87"/>
      <c r="G110" s="87"/>
      <c r="H110" s="87"/>
    </row>
    <row r="111" spans="1:18" s="175" customFormat="1">
      <c r="A111" s="137"/>
      <c r="E111" s="87"/>
      <c r="F111" s="87"/>
      <c r="G111" s="87"/>
      <c r="H111" s="87"/>
    </row>
    <row r="112" spans="1:18" s="175" customFormat="1">
      <c r="A112" s="137"/>
      <c r="E112" s="87"/>
      <c r="F112" s="87"/>
      <c r="G112" s="87"/>
      <c r="H112" s="87"/>
    </row>
    <row r="113" spans="1:8" s="175" customFormat="1">
      <c r="A113" s="137"/>
      <c r="E113" s="87"/>
      <c r="F113" s="87"/>
      <c r="G113" s="87"/>
      <c r="H113" s="87"/>
    </row>
    <row r="114" spans="1:8" s="175" customFormat="1">
      <c r="A114" s="137"/>
      <c r="E114" s="87"/>
      <c r="F114" s="87"/>
      <c r="G114" s="87"/>
      <c r="H114" s="87"/>
    </row>
    <row r="115" spans="1:8" s="175" customFormat="1">
      <c r="A115" s="137"/>
      <c r="E115" s="87"/>
      <c r="F115" s="87"/>
      <c r="G115" s="87"/>
      <c r="H115" s="87"/>
    </row>
    <row r="116" spans="1:8" s="175" customFormat="1">
      <c r="A116" s="137"/>
      <c r="E116" s="87"/>
      <c r="F116" s="87"/>
      <c r="G116" s="87"/>
      <c r="H116" s="87"/>
    </row>
    <row r="117" spans="1:8" s="175" customFormat="1">
      <c r="A117" s="137"/>
      <c r="E117" s="87"/>
      <c r="F117" s="87"/>
      <c r="G117" s="87"/>
      <c r="H117" s="87"/>
    </row>
    <row r="118" spans="1:8" s="175" customFormat="1">
      <c r="A118" s="137"/>
      <c r="E118" s="87"/>
      <c r="F118" s="87"/>
      <c r="G118" s="87"/>
      <c r="H118" s="87"/>
    </row>
    <row r="119" spans="1:8" s="175" customFormat="1">
      <c r="A119" s="137"/>
      <c r="E119" s="87"/>
      <c r="F119" s="87"/>
      <c r="G119" s="87"/>
      <c r="H119" s="87"/>
    </row>
    <row r="120" spans="1:8" s="175" customFormat="1">
      <c r="A120" s="137"/>
      <c r="E120" s="87"/>
      <c r="F120" s="87"/>
      <c r="G120" s="87"/>
      <c r="H120" s="87"/>
    </row>
    <row r="121" spans="1:8" s="175" customFormat="1">
      <c r="A121" s="137"/>
      <c r="E121" s="87"/>
      <c r="F121" s="87"/>
      <c r="G121" s="87"/>
      <c r="H121" s="87"/>
    </row>
    <row r="122" spans="1:8" s="175" customFormat="1">
      <c r="A122" s="137"/>
      <c r="E122" s="87"/>
      <c r="F122" s="87"/>
      <c r="G122" s="87"/>
      <c r="H122" s="87"/>
    </row>
    <row r="123" spans="1:8" s="175" customFormat="1">
      <c r="A123" s="137"/>
      <c r="E123" s="87"/>
      <c r="F123" s="87"/>
      <c r="G123" s="87"/>
      <c r="H123" s="87"/>
    </row>
    <row r="124" spans="1:8" s="175" customFormat="1">
      <c r="A124" s="137"/>
      <c r="E124" s="87"/>
      <c r="F124" s="87"/>
      <c r="G124" s="87"/>
      <c r="H124" s="87"/>
    </row>
    <row r="125" spans="1:8" s="175" customFormat="1">
      <c r="A125" s="137"/>
      <c r="E125" s="87"/>
      <c r="F125" s="87"/>
      <c r="G125" s="87"/>
      <c r="H125" s="87"/>
    </row>
    <row r="126" spans="1:8" s="175" customFormat="1">
      <c r="A126" s="137"/>
      <c r="E126" s="87"/>
      <c r="F126" s="87"/>
      <c r="G126" s="87"/>
      <c r="H126" s="87"/>
    </row>
    <row r="127" spans="1:8" s="175" customFormat="1">
      <c r="A127" s="137"/>
      <c r="E127" s="87"/>
      <c r="F127" s="87"/>
      <c r="G127" s="87"/>
      <c r="H127" s="87"/>
    </row>
    <row r="128" spans="1:8" s="175" customFormat="1">
      <c r="A128" s="137"/>
      <c r="E128" s="87"/>
      <c r="F128" s="87"/>
      <c r="G128" s="87"/>
      <c r="H128" s="87"/>
    </row>
    <row r="129" spans="1:8" s="175" customFormat="1">
      <c r="A129" s="137"/>
      <c r="E129" s="87"/>
      <c r="F129" s="87"/>
      <c r="G129" s="87"/>
      <c r="H129" s="87"/>
    </row>
    <row r="130" spans="1:8" s="175" customFormat="1">
      <c r="A130" s="137"/>
      <c r="E130" s="87"/>
      <c r="F130" s="87"/>
      <c r="G130" s="87"/>
      <c r="H130" s="87"/>
    </row>
    <row r="131" spans="1:8" s="175" customFormat="1">
      <c r="A131" s="137"/>
      <c r="E131" s="87"/>
      <c r="F131" s="87"/>
      <c r="G131" s="87"/>
      <c r="H131" s="87"/>
    </row>
    <row r="132" spans="1:8" s="175" customFormat="1">
      <c r="A132" s="137"/>
      <c r="E132" s="87"/>
      <c r="F132" s="87"/>
      <c r="G132" s="87"/>
      <c r="H132" s="87"/>
    </row>
    <row r="133" spans="1:8" s="175" customFormat="1">
      <c r="A133" s="137"/>
      <c r="E133" s="87"/>
      <c r="F133" s="87"/>
      <c r="G133" s="87"/>
      <c r="H133" s="87"/>
    </row>
    <row r="134" spans="1:8" s="175" customFormat="1">
      <c r="A134" s="137"/>
      <c r="E134" s="87"/>
      <c r="F134" s="87"/>
      <c r="G134" s="87"/>
      <c r="H134" s="87"/>
    </row>
    <row r="135" spans="1:8" s="175" customFormat="1">
      <c r="A135" s="137"/>
      <c r="E135" s="87"/>
      <c r="F135" s="87"/>
      <c r="G135" s="87"/>
      <c r="H135" s="87"/>
    </row>
    <row r="136" spans="1:8" s="175" customFormat="1">
      <c r="A136" s="137"/>
      <c r="E136" s="87"/>
      <c r="F136" s="87"/>
      <c r="G136" s="87"/>
      <c r="H136" s="87"/>
    </row>
    <row r="137" spans="1:8" s="175" customFormat="1">
      <c r="A137" s="137"/>
      <c r="E137" s="87"/>
      <c r="F137" s="87"/>
      <c r="G137" s="87"/>
      <c r="H137" s="87"/>
    </row>
    <row r="138" spans="1:8" s="175" customFormat="1">
      <c r="A138" s="137"/>
      <c r="E138" s="87"/>
      <c r="F138" s="87"/>
      <c r="G138" s="87"/>
      <c r="H138" s="87"/>
    </row>
    <row r="139" spans="1:8" s="175" customFormat="1">
      <c r="A139" s="137"/>
      <c r="E139" s="87"/>
      <c r="F139" s="87"/>
      <c r="G139" s="87"/>
      <c r="H139" s="87"/>
    </row>
    <row r="140" spans="1:8" s="175" customFormat="1">
      <c r="A140" s="137"/>
      <c r="E140" s="87"/>
      <c r="F140" s="87"/>
      <c r="G140" s="87"/>
      <c r="H140" s="87"/>
    </row>
    <row r="141" spans="1:8" s="175" customFormat="1">
      <c r="A141" s="137"/>
      <c r="E141" s="87"/>
      <c r="F141" s="87"/>
      <c r="G141" s="87"/>
      <c r="H141" s="87"/>
    </row>
    <row r="142" spans="1:8" s="175" customFormat="1">
      <c r="A142" s="137"/>
      <c r="E142" s="87"/>
      <c r="F142" s="87"/>
      <c r="G142" s="87"/>
      <c r="H142" s="87"/>
    </row>
    <row r="143" spans="1:8" s="175" customFormat="1">
      <c r="A143" s="137"/>
      <c r="E143" s="87"/>
      <c r="F143" s="87"/>
      <c r="G143" s="87"/>
      <c r="H143" s="87"/>
    </row>
    <row r="144" spans="1:8" s="175" customFormat="1">
      <c r="A144" s="137"/>
      <c r="E144" s="87"/>
      <c r="F144" s="87"/>
      <c r="G144" s="87"/>
      <c r="H144" s="87"/>
    </row>
    <row r="145" spans="1:8" s="175" customFormat="1">
      <c r="A145" s="137"/>
      <c r="E145" s="87"/>
      <c r="F145" s="87"/>
      <c r="G145" s="87"/>
      <c r="H145" s="87"/>
    </row>
    <row r="146" spans="1:8" s="175" customFormat="1">
      <c r="A146" s="137"/>
      <c r="E146" s="87"/>
      <c r="F146" s="87"/>
      <c r="G146" s="87"/>
      <c r="H146" s="87"/>
    </row>
    <row r="147" spans="1:8" s="175" customFormat="1">
      <c r="A147" s="137"/>
      <c r="E147" s="87"/>
      <c r="F147" s="87"/>
      <c r="G147" s="87"/>
      <c r="H147" s="87"/>
    </row>
    <row r="148" spans="1:8" s="175" customFormat="1">
      <c r="A148" s="137"/>
      <c r="E148" s="87"/>
      <c r="F148" s="87"/>
      <c r="G148" s="87"/>
      <c r="H148" s="87"/>
    </row>
    <row r="149" spans="1:8" s="175" customFormat="1">
      <c r="A149" s="137"/>
      <c r="E149" s="87"/>
      <c r="F149" s="87"/>
      <c r="G149" s="87"/>
      <c r="H149" s="87"/>
    </row>
    <row r="150" spans="1:8" s="175" customFormat="1">
      <c r="A150" s="137"/>
      <c r="E150" s="87"/>
      <c r="F150" s="87"/>
      <c r="G150" s="87"/>
      <c r="H150" s="87"/>
    </row>
    <row r="151" spans="1:8" s="175" customFormat="1">
      <c r="A151" s="137"/>
      <c r="E151" s="87"/>
      <c r="F151" s="87"/>
      <c r="G151" s="87"/>
      <c r="H151" s="87"/>
    </row>
    <row r="152" spans="1:8" s="175" customFormat="1">
      <c r="A152" s="137"/>
      <c r="E152" s="87"/>
      <c r="F152" s="87"/>
      <c r="G152" s="87"/>
      <c r="H152" s="87"/>
    </row>
    <row r="153" spans="1:8" s="175" customFormat="1">
      <c r="A153" s="137"/>
      <c r="E153" s="87"/>
      <c r="F153" s="87"/>
      <c r="G153" s="87"/>
      <c r="H153" s="87"/>
    </row>
    <row r="154" spans="1:8" s="175" customFormat="1">
      <c r="A154" s="137"/>
      <c r="E154" s="87"/>
      <c r="F154" s="87"/>
      <c r="G154" s="87"/>
      <c r="H154" s="87"/>
    </row>
    <row r="155" spans="1:8" s="175" customFormat="1">
      <c r="A155" s="137"/>
      <c r="E155" s="87"/>
      <c r="F155" s="87"/>
      <c r="G155" s="87"/>
      <c r="H155" s="87"/>
    </row>
    <row r="156" spans="1:8" s="175" customFormat="1">
      <c r="A156" s="137"/>
      <c r="E156" s="87"/>
      <c r="F156" s="87"/>
      <c r="G156" s="87"/>
      <c r="H156" s="87"/>
    </row>
    <row r="157" spans="1:8" s="175" customFormat="1">
      <c r="A157" s="137"/>
      <c r="E157" s="87"/>
      <c r="F157" s="87"/>
      <c r="G157" s="87"/>
      <c r="H157" s="87"/>
    </row>
    <row r="158" spans="1:8" s="175" customFormat="1">
      <c r="A158" s="137"/>
      <c r="E158" s="87"/>
      <c r="F158" s="87"/>
      <c r="G158" s="87"/>
      <c r="H158" s="87"/>
    </row>
    <row r="159" spans="1:8" s="175" customFormat="1">
      <c r="A159" s="137"/>
      <c r="E159" s="87"/>
      <c r="F159" s="87"/>
      <c r="G159" s="87"/>
      <c r="H159" s="87"/>
    </row>
    <row r="160" spans="1:8" s="175" customFormat="1">
      <c r="A160" s="137"/>
      <c r="E160" s="87"/>
      <c r="F160" s="87"/>
      <c r="G160" s="87"/>
      <c r="H160" s="87"/>
    </row>
    <row r="161" spans="1:8" s="175" customFormat="1">
      <c r="A161" s="137"/>
      <c r="E161" s="87"/>
      <c r="F161" s="87"/>
      <c r="G161" s="87"/>
      <c r="H161" s="87"/>
    </row>
    <row r="162" spans="1:8" s="175" customFormat="1">
      <c r="A162" s="137"/>
      <c r="E162" s="87"/>
      <c r="F162" s="87"/>
      <c r="G162" s="87"/>
      <c r="H162" s="87"/>
    </row>
    <row r="163" spans="1:8" s="175" customFormat="1">
      <c r="A163" s="137"/>
      <c r="E163" s="87"/>
      <c r="F163" s="87"/>
      <c r="G163" s="87"/>
      <c r="H163" s="87"/>
    </row>
    <row r="164" spans="1:8" s="175" customFormat="1">
      <c r="A164" s="137"/>
      <c r="E164" s="87"/>
      <c r="F164" s="87"/>
      <c r="G164" s="87"/>
      <c r="H164" s="87"/>
    </row>
    <row r="165" spans="1:8" s="175" customFormat="1">
      <c r="A165" s="137"/>
      <c r="E165" s="87"/>
      <c r="F165" s="87"/>
      <c r="G165" s="87"/>
      <c r="H165" s="87"/>
    </row>
    <row r="166" spans="1:8" s="175" customFormat="1">
      <c r="A166" s="137"/>
      <c r="E166" s="87"/>
      <c r="F166" s="87"/>
      <c r="G166" s="87"/>
      <c r="H166" s="87"/>
    </row>
    <row r="167" spans="1:8" s="175" customFormat="1">
      <c r="A167" s="137"/>
      <c r="E167" s="87"/>
      <c r="F167" s="87"/>
      <c r="G167" s="87"/>
      <c r="H167" s="87"/>
    </row>
    <row r="168" spans="1:8" s="175" customFormat="1">
      <c r="A168" s="137"/>
      <c r="E168" s="87"/>
      <c r="F168" s="87"/>
      <c r="G168" s="87"/>
      <c r="H168" s="87"/>
    </row>
    <row r="169" spans="1:8" s="175" customFormat="1">
      <c r="A169" s="137"/>
      <c r="E169" s="87"/>
      <c r="F169" s="87"/>
      <c r="G169" s="87"/>
      <c r="H169" s="87"/>
    </row>
    <row r="170" spans="1:8" s="175" customFormat="1">
      <c r="A170" s="137"/>
      <c r="E170" s="87"/>
      <c r="F170" s="87"/>
      <c r="G170" s="87"/>
      <c r="H170" s="87"/>
    </row>
    <row r="171" spans="1:8" s="175" customFormat="1">
      <c r="A171" s="137"/>
      <c r="E171" s="87"/>
      <c r="F171" s="87"/>
      <c r="G171" s="87"/>
      <c r="H171" s="87"/>
    </row>
    <row r="172" spans="1:8" s="175" customFormat="1">
      <c r="A172" s="137"/>
      <c r="E172" s="87"/>
      <c r="F172" s="87"/>
      <c r="G172" s="87"/>
      <c r="H172" s="87"/>
    </row>
    <row r="173" spans="1:8" s="175" customFormat="1">
      <c r="A173" s="137"/>
      <c r="E173" s="87"/>
      <c r="F173" s="87"/>
      <c r="G173" s="87"/>
      <c r="H173" s="87"/>
    </row>
    <row r="174" spans="1:8" s="175" customFormat="1">
      <c r="A174" s="137"/>
      <c r="E174" s="87"/>
      <c r="F174" s="87"/>
      <c r="G174" s="87"/>
      <c r="H174" s="87"/>
    </row>
    <row r="175" spans="1:8" s="175" customFormat="1">
      <c r="A175" s="137"/>
      <c r="E175" s="87"/>
      <c r="F175" s="87"/>
      <c r="G175" s="87"/>
      <c r="H175" s="87"/>
    </row>
    <row r="176" spans="1:8" s="175" customFormat="1">
      <c r="A176" s="137"/>
      <c r="E176" s="87"/>
      <c r="F176" s="87"/>
      <c r="G176" s="87"/>
      <c r="H176" s="87"/>
    </row>
    <row r="177" spans="1:8" s="175" customFormat="1">
      <c r="A177" s="137"/>
      <c r="E177" s="87"/>
      <c r="F177" s="87"/>
      <c r="G177" s="87"/>
      <c r="H177" s="87"/>
    </row>
    <row r="178" spans="1:8" s="175" customFormat="1">
      <c r="A178" s="137"/>
      <c r="E178" s="87"/>
      <c r="F178" s="87"/>
      <c r="G178" s="87"/>
      <c r="H178" s="87"/>
    </row>
    <row r="179" spans="1:8" s="175" customFormat="1">
      <c r="A179" s="137"/>
      <c r="E179" s="87"/>
      <c r="F179" s="87"/>
      <c r="G179" s="87"/>
      <c r="H179" s="87"/>
    </row>
    <row r="180" spans="1:8" s="175" customFormat="1">
      <c r="A180" s="137"/>
      <c r="E180" s="87"/>
      <c r="F180" s="87"/>
      <c r="G180" s="87"/>
      <c r="H180" s="87"/>
    </row>
    <row r="181" spans="1:8" s="175" customFormat="1">
      <c r="A181" s="137"/>
      <c r="E181" s="87"/>
      <c r="F181" s="87"/>
      <c r="G181" s="87"/>
      <c r="H181" s="87"/>
    </row>
    <row r="182" spans="1:8" s="175" customFormat="1">
      <c r="A182" s="137"/>
      <c r="E182" s="87"/>
      <c r="F182" s="87"/>
      <c r="G182" s="87"/>
      <c r="H182" s="87"/>
    </row>
    <row r="183" spans="1:8" s="175" customFormat="1">
      <c r="A183" s="137"/>
      <c r="E183" s="87"/>
      <c r="F183" s="87"/>
      <c r="G183" s="87"/>
      <c r="H183" s="87"/>
    </row>
    <row r="184" spans="1:8" s="175" customFormat="1">
      <c r="A184" s="137"/>
      <c r="E184" s="87"/>
      <c r="F184" s="87"/>
      <c r="G184" s="87"/>
      <c r="H184" s="87"/>
    </row>
    <row r="185" spans="1:8" s="175" customFormat="1">
      <c r="A185" s="137"/>
      <c r="E185" s="87"/>
      <c r="F185" s="87"/>
      <c r="G185" s="87"/>
      <c r="H185" s="87"/>
    </row>
    <row r="186" spans="1:8" s="175" customFormat="1">
      <c r="A186" s="137"/>
      <c r="E186" s="87"/>
      <c r="F186" s="87"/>
      <c r="G186" s="87"/>
      <c r="H186" s="87"/>
    </row>
    <row r="187" spans="1:8" s="175" customFormat="1">
      <c r="A187" s="137"/>
      <c r="E187" s="87"/>
      <c r="F187" s="87"/>
      <c r="G187" s="87"/>
      <c r="H187" s="87"/>
    </row>
    <row r="188" spans="1:8" s="175" customFormat="1">
      <c r="A188" s="137"/>
      <c r="E188" s="87"/>
      <c r="F188" s="87"/>
      <c r="G188" s="87"/>
      <c r="H188" s="87"/>
    </row>
    <row r="189" spans="1:8" s="175" customFormat="1">
      <c r="A189" s="137"/>
      <c r="E189" s="87"/>
      <c r="F189" s="87"/>
      <c r="G189" s="87"/>
      <c r="H189" s="87"/>
    </row>
    <row r="190" spans="1:8" s="175" customFormat="1">
      <c r="A190" s="137"/>
      <c r="E190" s="87"/>
      <c r="F190" s="87"/>
      <c r="G190" s="87"/>
      <c r="H190" s="87"/>
    </row>
    <row r="191" spans="1:8" s="175" customFormat="1">
      <c r="A191" s="137"/>
      <c r="E191" s="87"/>
      <c r="F191" s="87"/>
      <c r="G191" s="87"/>
      <c r="H191" s="87"/>
    </row>
    <row r="192" spans="1:8" s="175" customFormat="1">
      <c r="A192" s="137"/>
      <c r="E192" s="87"/>
      <c r="F192" s="87"/>
      <c r="G192" s="87"/>
      <c r="H192" s="87"/>
    </row>
    <row r="193" spans="1:8" s="175" customFormat="1">
      <c r="A193" s="137"/>
      <c r="E193" s="87"/>
      <c r="F193" s="87"/>
      <c r="G193" s="87"/>
      <c r="H193" s="87"/>
    </row>
    <row r="194" spans="1:8" s="175" customFormat="1">
      <c r="A194" s="137"/>
      <c r="E194" s="87"/>
      <c r="F194" s="87"/>
      <c r="G194" s="87"/>
      <c r="H194" s="87"/>
    </row>
    <row r="195" spans="1:8" s="175" customFormat="1">
      <c r="A195" s="137"/>
      <c r="E195" s="87"/>
      <c r="F195" s="87"/>
      <c r="G195" s="87"/>
      <c r="H195" s="87"/>
    </row>
    <row r="196" spans="1:8" s="175" customFormat="1">
      <c r="A196" s="137"/>
      <c r="E196" s="87"/>
      <c r="F196" s="87"/>
      <c r="G196" s="87"/>
      <c r="H196" s="87"/>
    </row>
    <row r="197" spans="1:8" s="175" customFormat="1">
      <c r="A197" s="137"/>
      <c r="E197" s="87"/>
      <c r="F197" s="87"/>
      <c r="G197" s="87"/>
      <c r="H197" s="87"/>
    </row>
    <row r="198" spans="1:8" s="175" customFormat="1">
      <c r="A198" s="137"/>
      <c r="E198" s="87"/>
      <c r="F198" s="87"/>
      <c r="G198" s="87"/>
      <c r="H198" s="87"/>
    </row>
    <row r="199" spans="1:8" s="175" customFormat="1">
      <c r="A199" s="137"/>
      <c r="E199" s="87"/>
      <c r="F199" s="87"/>
      <c r="G199" s="87"/>
      <c r="H199" s="87"/>
    </row>
    <row r="200" spans="1:8" s="175" customFormat="1">
      <c r="A200" s="137"/>
      <c r="E200" s="87"/>
      <c r="F200" s="87"/>
      <c r="G200" s="87"/>
      <c r="H200" s="87"/>
    </row>
    <row r="201" spans="1:8" s="175" customFormat="1">
      <c r="A201" s="137"/>
      <c r="E201" s="87"/>
      <c r="F201" s="87"/>
      <c r="G201" s="87"/>
      <c r="H201" s="87"/>
    </row>
    <row r="202" spans="1:8" s="175" customFormat="1">
      <c r="A202" s="137"/>
      <c r="E202" s="87"/>
      <c r="F202" s="87"/>
      <c r="G202" s="87"/>
      <c r="H202" s="87"/>
    </row>
    <row r="203" spans="1:8" s="175" customFormat="1">
      <c r="A203" s="137"/>
      <c r="E203" s="87"/>
      <c r="F203" s="87"/>
      <c r="G203" s="87"/>
      <c r="H203" s="87"/>
    </row>
    <row r="204" spans="1:8" s="175" customFormat="1">
      <c r="A204" s="137"/>
      <c r="E204" s="87"/>
      <c r="F204" s="87"/>
      <c r="G204" s="87"/>
      <c r="H204" s="87"/>
    </row>
    <row r="205" spans="1:8" s="175" customFormat="1">
      <c r="A205" s="137"/>
      <c r="E205" s="87"/>
      <c r="F205" s="87"/>
      <c r="G205" s="87"/>
      <c r="H205" s="87"/>
    </row>
    <row r="206" spans="1:8" s="175" customFormat="1">
      <c r="A206" s="137"/>
      <c r="E206" s="87"/>
      <c r="F206" s="87"/>
      <c r="G206" s="87"/>
      <c r="H206" s="87"/>
    </row>
    <row r="207" spans="1:8" s="175" customFormat="1">
      <c r="A207" s="137"/>
      <c r="E207" s="87"/>
      <c r="F207" s="87"/>
      <c r="G207" s="87"/>
      <c r="H207" s="87"/>
    </row>
    <row r="208" spans="1:8" s="175" customFormat="1">
      <c r="A208" s="137"/>
      <c r="E208" s="87"/>
      <c r="F208" s="87"/>
      <c r="G208" s="87"/>
      <c r="H208" s="87"/>
    </row>
    <row r="209" spans="1:8" s="175" customFormat="1">
      <c r="A209" s="137"/>
      <c r="E209" s="87"/>
      <c r="F209" s="87"/>
      <c r="G209" s="87"/>
      <c r="H209" s="87"/>
    </row>
    <row r="210" spans="1:8" s="175" customFormat="1">
      <c r="A210" s="137"/>
      <c r="E210" s="87"/>
      <c r="F210" s="87"/>
      <c r="G210" s="87"/>
      <c r="H210" s="87"/>
    </row>
    <row r="211" spans="1:8" s="175" customFormat="1">
      <c r="A211" s="137"/>
      <c r="E211" s="87"/>
      <c r="F211" s="87"/>
      <c r="G211" s="87"/>
      <c r="H211" s="87"/>
    </row>
    <row r="212" spans="1:8" s="175" customFormat="1">
      <c r="A212" s="137"/>
      <c r="E212" s="87"/>
      <c r="F212" s="87"/>
      <c r="G212" s="87"/>
      <c r="H212" s="87"/>
    </row>
    <row r="213" spans="1:8" s="175" customFormat="1">
      <c r="A213" s="137"/>
      <c r="E213" s="87"/>
      <c r="F213" s="87"/>
      <c r="G213" s="87"/>
      <c r="H213" s="87"/>
    </row>
    <row r="214" spans="1:8" s="175" customFormat="1">
      <c r="A214" s="137"/>
      <c r="E214" s="87"/>
      <c r="F214" s="87"/>
      <c r="G214" s="87"/>
      <c r="H214" s="87"/>
    </row>
    <row r="215" spans="1:8" s="175" customFormat="1">
      <c r="A215" s="137"/>
      <c r="E215" s="87"/>
      <c r="F215" s="87"/>
      <c r="G215" s="87"/>
      <c r="H215" s="87"/>
    </row>
    <row r="216" spans="1:8" s="175" customFormat="1">
      <c r="A216" s="137"/>
      <c r="E216" s="87"/>
      <c r="F216" s="87"/>
      <c r="G216" s="87"/>
      <c r="H216" s="87"/>
    </row>
    <row r="217" spans="1:8" s="175" customFormat="1">
      <c r="A217" s="137"/>
      <c r="E217" s="87"/>
      <c r="F217" s="87"/>
      <c r="G217" s="87"/>
      <c r="H217" s="87"/>
    </row>
    <row r="218" spans="1:8" s="175" customFormat="1">
      <c r="A218" s="137"/>
      <c r="E218" s="87"/>
      <c r="F218" s="87"/>
      <c r="G218" s="87"/>
      <c r="H218" s="87"/>
    </row>
    <row r="219" spans="1:8" s="175" customFormat="1">
      <c r="A219" s="137"/>
      <c r="E219" s="87"/>
      <c r="F219" s="87"/>
      <c r="G219" s="87"/>
      <c r="H219" s="87"/>
    </row>
    <row r="220" spans="1:8" s="175" customFormat="1">
      <c r="A220" s="137"/>
      <c r="E220" s="87"/>
      <c r="F220" s="87"/>
      <c r="G220" s="87"/>
      <c r="H220" s="87"/>
    </row>
    <row r="221" spans="1:8" s="175" customFormat="1">
      <c r="A221" s="137"/>
      <c r="E221" s="87"/>
      <c r="F221" s="87"/>
      <c r="G221" s="87"/>
      <c r="H221" s="87"/>
    </row>
    <row r="222" spans="1:8" s="175" customFormat="1">
      <c r="A222" s="137"/>
      <c r="E222" s="87"/>
      <c r="F222" s="87"/>
      <c r="G222" s="87"/>
      <c r="H222" s="87"/>
    </row>
    <row r="223" spans="1:8" s="175" customFormat="1">
      <c r="A223" s="137"/>
      <c r="E223" s="87"/>
      <c r="F223" s="87"/>
      <c r="G223" s="87"/>
      <c r="H223" s="87"/>
    </row>
    <row r="224" spans="1:8" s="175" customFormat="1">
      <c r="A224" s="137"/>
      <c r="E224" s="87"/>
      <c r="F224" s="87"/>
      <c r="G224" s="87"/>
      <c r="H224" s="87"/>
    </row>
    <row r="225" spans="1:8" s="175" customFormat="1">
      <c r="A225" s="137"/>
      <c r="E225" s="87"/>
      <c r="F225" s="87"/>
      <c r="G225" s="87"/>
      <c r="H225" s="87"/>
    </row>
    <row r="226" spans="1:8" s="175" customFormat="1">
      <c r="A226" s="137"/>
      <c r="E226" s="87"/>
      <c r="F226" s="87"/>
      <c r="G226" s="87"/>
      <c r="H226" s="87"/>
    </row>
    <row r="227" spans="1:8" s="175" customFormat="1">
      <c r="A227" s="137"/>
      <c r="E227" s="87"/>
      <c r="F227" s="87"/>
      <c r="G227" s="87"/>
      <c r="H227" s="87"/>
    </row>
    <row r="228" spans="1:8" s="175" customFormat="1">
      <c r="A228" s="137"/>
      <c r="E228" s="87"/>
      <c r="F228" s="87"/>
      <c r="G228" s="87"/>
      <c r="H228" s="87"/>
    </row>
    <row r="229" spans="1:8" s="175" customFormat="1">
      <c r="A229" s="137"/>
      <c r="E229" s="87"/>
      <c r="F229" s="87"/>
      <c r="G229" s="87"/>
      <c r="H229" s="87"/>
    </row>
    <row r="230" spans="1:8" s="175" customFormat="1">
      <c r="A230" s="137"/>
      <c r="E230" s="87"/>
      <c r="F230" s="87"/>
      <c r="G230" s="87"/>
      <c r="H230" s="87"/>
    </row>
    <row r="231" spans="1:8" s="175" customFormat="1">
      <c r="A231" s="137"/>
      <c r="E231" s="87"/>
      <c r="F231" s="87"/>
      <c r="G231" s="87"/>
      <c r="H231" s="87"/>
    </row>
    <row r="232" spans="1:8" s="175" customFormat="1">
      <c r="A232" s="137"/>
      <c r="E232" s="87"/>
      <c r="F232" s="87"/>
      <c r="G232" s="87"/>
      <c r="H232" s="87"/>
    </row>
    <row r="233" spans="1:8" s="175" customFormat="1">
      <c r="A233" s="137"/>
      <c r="E233" s="87"/>
      <c r="F233" s="87"/>
      <c r="G233" s="87"/>
      <c r="H233" s="87"/>
    </row>
    <row r="234" spans="1:8" s="175" customFormat="1">
      <c r="A234" s="137"/>
      <c r="E234" s="87"/>
      <c r="F234" s="87"/>
      <c r="G234" s="87"/>
      <c r="H234" s="87"/>
    </row>
    <row r="235" spans="1:8" s="175" customFormat="1">
      <c r="A235" s="137"/>
      <c r="E235" s="87"/>
      <c r="F235" s="87"/>
      <c r="G235" s="87"/>
      <c r="H235" s="87"/>
    </row>
    <row r="236" spans="1:8" s="175" customFormat="1">
      <c r="A236" s="137"/>
      <c r="E236" s="87"/>
      <c r="F236" s="87"/>
      <c r="G236" s="87"/>
      <c r="H236" s="87"/>
    </row>
    <row r="237" spans="1:8" s="175" customFormat="1">
      <c r="A237" s="137"/>
      <c r="E237" s="87"/>
      <c r="F237" s="87"/>
      <c r="G237" s="87"/>
      <c r="H237" s="87"/>
    </row>
    <row r="238" spans="1:8" s="175" customFormat="1">
      <c r="A238" s="137"/>
      <c r="E238" s="87"/>
      <c r="F238" s="87"/>
      <c r="G238" s="87"/>
      <c r="H238" s="87"/>
    </row>
    <row r="239" spans="1:8" s="175" customFormat="1">
      <c r="A239" s="137"/>
      <c r="E239" s="87"/>
      <c r="F239" s="87"/>
      <c r="G239" s="87"/>
      <c r="H239" s="87"/>
    </row>
    <row r="240" spans="1:8" s="175" customFormat="1">
      <c r="A240" s="137"/>
      <c r="E240" s="87"/>
      <c r="F240" s="87"/>
      <c r="G240" s="87"/>
      <c r="H240" s="87"/>
    </row>
    <row r="241" spans="1:8" s="175" customFormat="1">
      <c r="A241" s="137"/>
      <c r="E241" s="87"/>
      <c r="F241" s="87"/>
      <c r="G241" s="87"/>
      <c r="H241" s="87"/>
    </row>
    <row r="242" spans="1:8" s="175" customFormat="1">
      <c r="A242" s="137"/>
      <c r="E242" s="87"/>
      <c r="F242" s="87"/>
      <c r="G242" s="87"/>
      <c r="H242" s="87"/>
    </row>
    <row r="243" spans="1:8" s="175" customFormat="1">
      <c r="A243" s="137"/>
      <c r="E243" s="87"/>
      <c r="F243" s="87"/>
      <c r="G243" s="87"/>
      <c r="H243" s="87"/>
    </row>
    <row r="244" spans="1:8" s="175" customFormat="1">
      <c r="A244" s="137"/>
      <c r="E244" s="87"/>
      <c r="F244" s="87"/>
      <c r="G244" s="87"/>
      <c r="H244" s="87"/>
    </row>
    <row r="245" spans="1:8" s="175" customFormat="1">
      <c r="A245" s="137"/>
      <c r="E245" s="87"/>
      <c r="F245" s="87"/>
      <c r="G245" s="87"/>
      <c r="H245" s="87"/>
    </row>
    <row r="246" spans="1:8" s="175" customFormat="1">
      <c r="A246" s="137"/>
      <c r="E246" s="87"/>
      <c r="F246" s="87"/>
      <c r="G246" s="87"/>
      <c r="H246" s="87"/>
    </row>
    <row r="247" spans="1:8" s="175" customFormat="1">
      <c r="A247" s="137"/>
      <c r="E247" s="87"/>
      <c r="F247" s="87"/>
      <c r="G247" s="87"/>
      <c r="H247" s="87"/>
    </row>
    <row r="248" spans="1:8" s="175" customFormat="1">
      <c r="A248" s="137"/>
      <c r="E248" s="87"/>
      <c r="F248" s="87"/>
      <c r="G248" s="87"/>
      <c r="H248" s="87"/>
    </row>
    <row r="249" spans="1:8" s="175" customFormat="1">
      <c r="A249" s="137"/>
      <c r="E249" s="87"/>
      <c r="F249" s="87"/>
      <c r="G249" s="87"/>
      <c r="H249" s="87"/>
    </row>
    <row r="250" spans="1:8" s="175" customFormat="1">
      <c r="A250" s="137"/>
      <c r="E250" s="87"/>
      <c r="F250" s="87"/>
      <c r="G250" s="87"/>
      <c r="H250" s="87"/>
    </row>
    <row r="251" spans="1:8" s="175" customFormat="1">
      <c r="A251" s="137"/>
      <c r="E251" s="87"/>
      <c r="F251" s="87"/>
      <c r="G251" s="87"/>
      <c r="H251" s="87"/>
    </row>
  </sheetData>
  <mergeCells count="17">
    <mergeCell ref="A44:H44"/>
    <mergeCell ref="A2:H2"/>
    <mergeCell ref="A1:H1"/>
    <mergeCell ref="A4:A5"/>
    <mergeCell ref="B4:B5"/>
    <mergeCell ref="A7:H7"/>
    <mergeCell ref="E4:H4"/>
    <mergeCell ref="C4:D4"/>
    <mergeCell ref="C100:D100"/>
    <mergeCell ref="G100:H100"/>
    <mergeCell ref="C99:D99"/>
    <mergeCell ref="A78:H78"/>
    <mergeCell ref="A51:H51"/>
    <mergeCell ref="A69:H69"/>
    <mergeCell ref="C79:D79"/>
    <mergeCell ref="E79:H79"/>
    <mergeCell ref="G99:H99"/>
  </mergeCells>
  <phoneticPr fontId="4" type="noConversion"/>
  <pageMargins left="0.39370078740157483" right="0.39370078740157483" top="0.78740157480314965" bottom="0.39370078740157483" header="0.39370078740157483" footer="0.19685039370078741"/>
  <pageSetup paperSize="9" scale="70" fitToHeight="7" orientation="landscape" verticalDpi="300" r:id="rId1"/>
  <headerFooter alignWithMargins="0"/>
  <ignoredErrors>
    <ignoredError sqref="B81:B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AD316"/>
  <sheetViews>
    <sheetView view="pageBreakPreview" zoomScale="80" zoomScaleSheetLayoutView="80" workbookViewId="0">
      <selection activeCell="M8" sqref="M8"/>
    </sheetView>
  </sheetViews>
  <sheetFormatPr defaultColWidth="9.140625" defaultRowHeight="18.75"/>
  <cols>
    <col min="1" max="1" width="9.140625" style="1"/>
    <col min="2" max="2" width="58" style="1" customWidth="1"/>
    <col min="3" max="3" width="13.42578125" style="178" customWidth="1"/>
    <col min="4" max="4" width="18.28515625" style="178" customWidth="1"/>
    <col min="5" max="5" width="18.5703125" style="178" customWidth="1"/>
    <col min="6" max="6" width="17.85546875" style="178" customWidth="1"/>
    <col min="7" max="7" width="18.28515625" style="1" customWidth="1"/>
    <col min="8" max="8" width="19.28515625" style="1" customWidth="1"/>
    <col min="9" max="9" width="19" style="1" customWidth="1"/>
    <col min="10" max="10" width="18" style="1" customWidth="1"/>
    <col min="11" max="11" width="17.28515625" style="1" customWidth="1"/>
    <col min="12" max="12" width="22.140625" style="1" customWidth="1"/>
    <col min="13" max="13" width="16.7109375" style="1" bestFit="1" customWidth="1"/>
    <col min="14" max="14" width="10.5703125" style="1" bestFit="1" customWidth="1"/>
    <col min="15" max="15" width="14.7109375" style="1" bestFit="1" customWidth="1"/>
    <col min="16" max="18" width="9.140625" style="1"/>
    <col min="19" max="19" width="11.5703125" style="1" bestFit="1" customWidth="1"/>
    <col min="20" max="20" width="9.140625" style="1"/>
    <col min="21" max="21" width="11.5703125" style="1" bestFit="1" customWidth="1"/>
    <col min="22" max="16384" width="9.140625" style="1"/>
  </cols>
  <sheetData>
    <row r="2" spans="1:13" ht="20.25">
      <c r="B2" s="204" t="s">
        <v>102</v>
      </c>
      <c r="C2" s="204"/>
      <c r="D2" s="204"/>
      <c r="E2" s="204"/>
      <c r="F2" s="204"/>
    </row>
    <row r="3" spans="1:13">
      <c r="B3" s="182"/>
      <c r="C3" s="2"/>
      <c r="D3" s="182"/>
      <c r="E3" s="182"/>
      <c r="F3" s="182"/>
      <c r="H3" s="1" t="s">
        <v>65</v>
      </c>
    </row>
    <row r="4" spans="1:13" ht="73.5" customHeight="1">
      <c r="A4" s="3" t="s">
        <v>76</v>
      </c>
      <c r="B4" s="3" t="s">
        <v>23</v>
      </c>
      <c r="C4" s="8" t="s">
        <v>5</v>
      </c>
      <c r="D4" s="8" t="s">
        <v>531</v>
      </c>
      <c r="E4" s="8" t="s">
        <v>348</v>
      </c>
      <c r="F4" s="8" t="s">
        <v>352</v>
      </c>
      <c r="G4" s="8" t="s">
        <v>111</v>
      </c>
      <c r="H4" s="8" t="s">
        <v>113</v>
      </c>
    </row>
    <row r="5" spans="1:13" ht="30.75" customHeight="1">
      <c r="A5" s="3">
        <v>1</v>
      </c>
      <c r="B5" s="3">
        <v>2</v>
      </c>
      <c r="C5" s="8">
        <v>3</v>
      </c>
      <c r="D5" s="8">
        <v>4</v>
      </c>
      <c r="E5" s="8">
        <v>5</v>
      </c>
      <c r="F5" s="8">
        <v>6</v>
      </c>
      <c r="G5" s="3">
        <v>7</v>
      </c>
      <c r="H5" s="3">
        <v>8</v>
      </c>
    </row>
    <row r="6" spans="1:13" ht="30.75" customHeight="1">
      <c r="A6" s="207" t="s">
        <v>75</v>
      </c>
      <c r="B6" s="207"/>
      <c r="C6" s="8"/>
      <c r="D6" s="9">
        <f>D7+D10+D17+D19</f>
        <v>143772.20000000001</v>
      </c>
      <c r="E6" s="9">
        <f>E7+E10+E17+E19</f>
        <v>145234.4</v>
      </c>
      <c r="F6" s="9">
        <f>F7+F10+F17+F19</f>
        <v>151743.1</v>
      </c>
      <c r="G6" s="180">
        <f>F6-E6</f>
        <v>6508.7000000000116</v>
      </c>
      <c r="H6" s="139">
        <f>(F6/E6)*100</f>
        <v>104.4815140214715</v>
      </c>
      <c r="I6" s="16">
        <f>F6-D6</f>
        <v>7970.8999999999942</v>
      </c>
      <c r="J6" s="16"/>
      <c r="K6" s="16"/>
      <c r="L6" s="16"/>
    </row>
    <row r="7" spans="1:13" ht="45" customHeight="1">
      <c r="A7" s="201" t="s">
        <v>74</v>
      </c>
      <c r="B7" s="201"/>
      <c r="C7" s="156">
        <v>1000</v>
      </c>
      <c r="D7" s="10">
        <f>SUM(D8:D9)</f>
        <v>118470</v>
      </c>
      <c r="E7" s="10">
        <f>SUM(E8:E9)</f>
        <v>122475.8</v>
      </c>
      <c r="F7" s="10">
        <f>SUM(F8:F9)</f>
        <v>121006</v>
      </c>
      <c r="G7" s="15">
        <f>F7-E7</f>
        <v>-1469.8000000000029</v>
      </c>
      <c r="H7" s="15">
        <f>(F7/E7)*100</f>
        <v>98.799926189500283</v>
      </c>
      <c r="K7" s="16"/>
    </row>
    <row r="8" spans="1:13" ht="45" customHeight="1">
      <c r="A8" s="12">
        <v>1</v>
      </c>
      <c r="B8" s="13" t="s">
        <v>187</v>
      </c>
      <c r="C8" s="156"/>
      <c r="D8" s="14">
        <v>117515.7</v>
      </c>
      <c r="E8" s="14">
        <v>120378.5</v>
      </c>
      <c r="F8" s="14">
        <v>120453.9</v>
      </c>
      <c r="G8" s="11">
        <f>F8-E8</f>
        <v>75.399999999994179</v>
      </c>
      <c r="H8" s="11">
        <f>(F8/E8)*100</f>
        <v>100.06263576967646</v>
      </c>
      <c r="J8" s="16"/>
      <c r="L8" s="16"/>
      <c r="M8" s="16"/>
    </row>
    <row r="9" spans="1:13" ht="30" customHeight="1">
      <c r="A9" s="12">
        <v>2</v>
      </c>
      <c r="B9" s="13" t="s">
        <v>235</v>
      </c>
      <c r="C9" s="156"/>
      <c r="D9" s="14">
        <v>954.3</v>
      </c>
      <c r="E9" s="14">
        <v>2097.3000000000002</v>
      </c>
      <c r="F9" s="14">
        <v>552.1</v>
      </c>
      <c r="G9" s="11">
        <f t="shared" ref="G9:G20" si="0">F9-E9</f>
        <v>-1545.2000000000003</v>
      </c>
      <c r="H9" s="11">
        <f t="shared" ref="H9:H20" si="1">(F9/E9)*100</f>
        <v>26.324321747008057</v>
      </c>
    </row>
    <row r="10" spans="1:13" ht="30.75" customHeight="1">
      <c r="A10" s="302" t="s">
        <v>35</v>
      </c>
      <c r="B10" s="302"/>
      <c r="C10" s="156">
        <v>1040</v>
      </c>
      <c r="D10" s="10">
        <f>SUM(D11:D16)</f>
        <v>17830.7</v>
      </c>
      <c r="E10" s="10">
        <f>SUM(E11:E16)</f>
        <v>13298.599999999999</v>
      </c>
      <c r="F10" s="10">
        <f>SUM(F11:F16)</f>
        <v>20836.8</v>
      </c>
      <c r="G10" s="15">
        <f t="shared" si="0"/>
        <v>7538.2000000000007</v>
      </c>
      <c r="H10" s="15">
        <f t="shared" si="1"/>
        <v>156.68416224264209</v>
      </c>
      <c r="I10" s="16"/>
      <c r="J10" s="48"/>
    </row>
    <row r="11" spans="1:13" ht="48" customHeight="1">
      <c r="A11" s="12">
        <v>1</v>
      </c>
      <c r="B11" s="13" t="s">
        <v>215</v>
      </c>
      <c r="C11" s="156"/>
      <c r="D11" s="14">
        <v>11771.8</v>
      </c>
      <c r="E11" s="14">
        <v>13214.3</v>
      </c>
      <c r="F11" s="146">
        <v>13687.7</v>
      </c>
      <c r="G11" s="11">
        <f t="shared" si="0"/>
        <v>473.40000000000146</v>
      </c>
      <c r="H11" s="11">
        <f t="shared" si="1"/>
        <v>103.58248261353231</v>
      </c>
      <c r="I11" s="16"/>
      <c r="J11" s="16"/>
    </row>
    <row r="12" spans="1:13" ht="48" customHeight="1">
      <c r="A12" s="12">
        <v>2</v>
      </c>
      <c r="B12" s="13" t="s">
        <v>216</v>
      </c>
      <c r="C12" s="156"/>
      <c r="D12" s="14"/>
      <c r="E12" s="14"/>
      <c r="F12" s="14">
        <v>4228.3999999999996</v>
      </c>
      <c r="G12" s="11">
        <f t="shared" si="0"/>
        <v>4228.3999999999996</v>
      </c>
      <c r="H12" s="50" t="e">
        <f t="shared" si="1"/>
        <v>#DIV/0!</v>
      </c>
      <c r="I12" s="16"/>
      <c r="J12" s="16"/>
    </row>
    <row r="13" spans="1:13" ht="37.5" customHeight="1">
      <c r="A13" s="12"/>
      <c r="B13" s="17" t="s">
        <v>278</v>
      </c>
      <c r="C13" s="156"/>
      <c r="D13" s="14">
        <v>19.5</v>
      </c>
      <c r="E13" s="14"/>
      <c r="F13" s="14">
        <v>9.8000000000000007</v>
      </c>
      <c r="G13" s="11">
        <f t="shared" si="0"/>
        <v>9.8000000000000007</v>
      </c>
      <c r="H13" s="50" t="e">
        <f t="shared" si="1"/>
        <v>#DIV/0!</v>
      </c>
      <c r="I13" s="16"/>
      <c r="J13" s="16"/>
    </row>
    <row r="14" spans="1:13" ht="32.25" customHeight="1">
      <c r="A14" s="12">
        <v>5</v>
      </c>
      <c r="B14" s="13" t="s">
        <v>188</v>
      </c>
      <c r="C14" s="156"/>
      <c r="D14" s="14">
        <v>105.1</v>
      </c>
      <c r="E14" s="14">
        <v>84.3</v>
      </c>
      <c r="F14" s="14">
        <v>262.7</v>
      </c>
      <c r="G14" s="11">
        <f t="shared" si="0"/>
        <v>178.39999999999998</v>
      </c>
      <c r="H14" s="11">
        <f t="shared" si="1"/>
        <v>311.62514827995255</v>
      </c>
    </row>
    <row r="15" spans="1:13" ht="33" customHeight="1">
      <c r="A15" s="12">
        <v>6</v>
      </c>
      <c r="B15" s="13" t="s">
        <v>189</v>
      </c>
      <c r="C15" s="156"/>
      <c r="D15" s="14">
        <v>436.5</v>
      </c>
      <c r="E15" s="14"/>
      <c r="F15" s="14">
        <v>291.8</v>
      </c>
      <c r="G15" s="11">
        <f t="shared" si="0"/>
        <v>291.8</v>
      </c>
      <c r="H15" s="50" t="e">
        <f t="shared" si="1"/>
        <v>#DIV/0!</v>
      </c>
      <c r="J15" s="16"/>
    </row>
    <row r="16" spans="1:13" ht="30.75" customHeight="1">
      <c r="A16" s="12">
        <v>7</v>
      </c>
      <c r="B16" s="13" t="s">
        <v>190</v>
      </c>
      <c r="C16" s="156"/>
      <c r="D16" s="14">
        <v>5497.8</v>
      </c>
      <c r="E16" s="14"/>
      <c r="F16" s="14">
        <v>2356.4</v>
      </c>
      <c r="G16" s="11">
        <f t="shared" si="0"/>
        <v>2356.4</v>
      </c>
      <c r="H16" s="50" t="e">
        <f t="shared" si="1"/>
        <v>#DIV/0!</v>
      </c>
      <c r="I16" s="16"/>
      <c r="J16" s="16"/>
    </row>
    <row r="17" spans="1:30" ht="30.75" customHeight="1">
      <c r="A17" s="302" t="s">
        <v>77</v>
      </c>
      <c r="B17" s="302"/>
      <c r="C17" s="156">
        <v>1130</v>
      </c>
      <c r="D17" s="10">
        <f>D18</f>
        <v>1413.9</v>
      </c>
      <c r="E17" s="10">
        <f>E18</f>
        <v>1210</v>
      </c>
      <c r="F17" s="10">
        <f>F18</f>
        <v>1990.7</v>
      </c>
      <c r="G17" s="15">
        <f t="shared" si="0"/>
        <v>780.7</v>
      </c>
      <c r="H17" s="15">
        <f t="shared" si="1"/>
        <v>164.52066115702479</v>
      </c>
    </row>
    <row r="18" spans="1:30" ht="45" customHeight="1">
      <c r="A18" s="12">
        <v>1</v>
      </c>
      <c r="B18" s="17" t="s">
        <v>191</v>
      </c>
      <c r="C18" s="8"/>
      <c r="D18" s="14">
        <v>1413.9</v>
      </c>
      <c r="E18" s="14">
        <v>1210</v>
      </c>
      <c r="F18" s="14">
        <v>1990.7</v>
      </c>
      <c r="G18" s="11">
        <f t="shared" si="0"/>
        <v>780.7</v>
      </c>
      <c r="H18" s="11">
        <f t="shared" si="1"/>
        <v>164.52066115702479</v>
      </c>
    </row>
    <row r="19" spans="1:30" ht="30.75" customHeight="1">
      <c r="A19" s="302" t="s">
        <v>27</v>
      </c>
      <c r="B19" s="302"/>
      <c r="C19" s="156">
        <v>1150</v>
      </c>
      <c r="D19" s="10">
        <f>SUM(D20:D20)</f>
        <v>6057.6</v>
      </c>
      <c r="E19" s="10">
        <f>SUM(E20:E20)</f>
        <v>8250</v>
      </c>
      <c r="F19" s="10">
        <f>SUM(F20:F20)</f>
        <v>7909.6</v>
      </c>
      <c r="G19" s="15">
        <f t="shared" si="0"/>
        <v>-340.39999999999964</v>
      </c>
      <c r="H19" s="15">
        <f t="shared" si="1"/>
        <v>95.873939393939395</v>
      </c>
      <c r="I19" s="16"/>
      <c r="J19" s="16"/>
    </row>
    <row r="20" spans="1:30" ht="41.25" customHeight="1">
      <c r="A20" s="3">
        <v>2</v>
      </c>
      <c r="B20" s="13" t="s">
        <v>202</v>
      </c>
      <c r="C20" s="156"/>
      <c r="D20" s="14">
        <v>6057.6</v>
      </c>
      <c r="E20" s="14">
        <v>8250</v>
      </c>
      <c r="F20" s="14">
        <v>7909.6</v>
      </c>
      <c r="G20" s="11">
        <f t="shared" si="0"/>
        <v>-340.39999999999964</v>
      </c>
      <c r="H20" s="11">
        <f t="shared" si="1"/>
        <v>95.873939393939395</v>
      </c>
    </row>
    <row r="21" spans="1:30" ht="35.25" customHeight="1">
      <c r="A21" s="207" t="s">
        <v>78</v>
      </c>
      <c r="B21" s="207"/>
      <c r="C21" s="156"/>
      <c r="D21" s="10"/>
      <c r="E21" s="10"/>
      <c r="F21" s="10"/>
      <c r="G21" s="11"/>
      <c r="H21" s="11"/>
    </row>
    <row r="22" spans="1:30" ht="48" customHeight="1">
      <c r="A22" s="201" t="s">
        <v>79</v>
      </c>
      <c r="B22" s="201"/>
      <c r="C22" s="8"/>
      <c r="D22" s="10"/>
      <c r="E22" s="10"/>
      <c r="F22" s="10"/>
      <c r="G22" s="11"/>
      <c r="H22" s="11"/>
    </row>
    <row r="23" spans="1:30" ht="34.5" customHeight="1">
      <c r="A23" s="303" t="s">
        <v>80</v>
      </c>
      <c r="B23" s="303"/>
      <c r="C23" s="156">
        <v>1011</v>
      </c>
      <c r="D23" s="10">
        <f>SUM(D24:D29)</f>
        <v>23658.000000000004</v>
      </c>
      <c r="E23" s="10">
        <f>SUM(E24:E29)</f>
        <v>23408</v>
      </c>
      <c r="F23" s="10">
        <f>SUM(F24:F29)</f>
        <v>25788.1</v>
      </c>
      <c r="G23" s="15">
        <f t="shared" ref="G23:G31" si="2">F23-E23</f>
        <v>2380.0999999999985</v>
      </c>
      <c r="H23" s="15">
        <f t="shared" ref="H23:H31" si="3">(F23/E23)*100</f>
        <v>110.1678913192071</v>
      </c>
      <c r="I23" s="16"/>
      <c r="J23" s="16"/>
      <c r="K23" s="30"/>
    </row>
    <row r="24" spans="1:30" ht="36" customHeight="1">
      <c r="A24" s="156"/>
      <c r="B24" s="13" t="s">
        <v>176</v>
      </c>
      <c r="C24" s="156"/>
      <c r="D24" s="14">
        <f>'Розшифровка 2 до формування'!D129+'Розшифровка 2 до формування'!D149</f>
        <v>4353.7</v>
      </c>
      <c r="E24" s="91">
        <f>'Розшифровка 2 до формування'!E129+'Розшифровка 2 до формування'!E149</f>
        <v>4125</v>
      </c>
      <c r="F24" s="14">
        <f>'Розшифровка 2 до формування'!F129+'Розшифровка 2 до формування'!F149</f>
        <v>4282.5</v>
      </c>
      <c r="G24" s="11">
        <f t="shared" si="2"/>
        <v>157.5</v>
      </c>
      <c r="H24" s="11">
        <f t="shared" si="3"/>
        <v>103.81818181818181</v>
      </c>
      <c r="J24" s="16"/>
    </row>
    <row r="25" spans="1:30" ht="32.25" customHeight="1">
      <c r="A25" s="156"/>
      <c r="B25" s="17" t="s">
        <v>192</v>
      </c>
      <c r="C25" s="156"/>
      <c r="D25" s="14">
        <f>'Розшифровка 2 до формування'!D11+'Розшифровка 2 до формування'!D56+'Розшифровка 2 до формування'!D131+'Розшифровка 2 до формування'!D148+'Розшифровка 2 до формування'!D196</f>
        <v>17274.099999999999</v>
      </c>
      <c r="E25" s="92">
        <f>'Розшифровка 2 до формування'!E11+'Розшифровка 2 до формування'!E56+'Розшифровка 2 до формування'!E131+'Розшифровка 2 до формування'!E148+'Розшифровка 2 до формування'!E196</f>
        <v>16718</v>
      </c>
      <c r="F25" s="14">
        <f>'Розшифровка 2 до формування'!F11+'Розшифровка 2 до формування'!F56+'Розшифровка 2 до формування'!F131+'Розшифровка 2 до формування'!F148+'Розшифровка 2 до формування'!F196</f>
        <v>18475.099999999999</v>
      </c>
      <c r="G25" s="11">
        <f t="shared" si="2"/>
        <v>1757.0999999999985</v>
      </c>
      <c r="H25" s="11">
        <f t="shared" si="3"/>
        <v>110.5102284962316</v>
      </c>
      <c r="AD25" s="1" t="s">
        <v>204</v>
      </c>
    </row>
    <row r="26" spans="1:30" ht="29.25" customHeight="1">
      <c r="A26" s="156"/>
      <c r="B26" s="13" t="s">
        <v>138</v>
      </c>
      <c r="C26" s="156"/>
      <c r="D26" s="14">
        <f>'Розшифровка 2 до формування'!D12+'Розшифровка 2 до формування'!D57++'Розшифровка 2 до формування'!D198</f>
        <v>839.4</v>
      </c>
      <c r="E26" s="92">
        <f>'Розшифровка 2 до формування'!E12+'Розшифровка 2 до формування'!E57++'Розшифровка 2 до формування'!E198</f>
        <v>965</v>
      </c>
      <c r="F26" s="14">
        <f>'Розшифровка 2 до формування'!F12+'Розшифровка 2 до формування'!F57++'Розшифровка 2 до формування'!F198</f>
        <v>1335.8999999999999</v>
      </c>
      <c r="G26" s="11">
        <f t="shared" si="2"/>
        <v>370.89999999999986</v>
      </c>
      <c r="H26" s="11">
        <f t="shared" si="3"/>
        <v>138.43523316062175</v>
      </c>
    </row>
    <row r="27" spans="1:30" ht="31.5" customHeight="1">
      <c r="A27" s="156"/>
      <c r="B27" s="17" t="s">
        <v>173</v>
      </c>
      <c r="C27" s="156"/>
      <c r="D27" s="14">
        <f>'Розшифровка 2 до формування'!D15+'Розшифровка 2 до формування'!D58+'Розшифровка 2 до формування'!D130+'Розшифровка 2 до формування'!D197+'Розшифровка 2 до формування'!D217</f>
        <v>313.39999999999998</v>
      </c>
      <c r="E27" s="92">
        <f>'Розшифровка 2 до формування'!E15+'Розшифровка 2 до формування'!E58+'Розшифровка 2 до формування'!E130+'Розшифровка 2 до формування'!E197+'Розшифровка 2 до формування'!E217</f>
        <v>674</v>
      </c>
      <c r="F27" s="14">
        <f>'Розшифровка 2 до формування'!F15+'Розшифровка 2 до формування'!F58+'Розшифровка 2 до формування'!F130+'Розшифровка 2 до формування'!F197+'Розшифровка 2 до формування'!F217</f>
        <v>405.1</v>
      </c>
      <c r="G27" s="11">
        <f t="shared" si="2"/>
        <v>-268.89999999999998</v>
      </c>
      <c r="H27" s="11">
        <f t="shared" si="3"/>
        <v>60.103857566765583</v>
      </c>
    </row>
    <row r="28" spans="1:30" ht="63" customHeight="1">
      <c r="A28" s="18"/>
      <c r="B28" s="13" t="s">
        <v>193</v>
      </c>
      <c r="C28" s="8"/>
      <c r="D28" s="14">
        <f>'Розшифровка 2 до формування'!D13+'Розшифровка 2 до формування'!D59+'Розшифровка 2 до формування'!D103+'Розшифровка 2 до формування'!D161+'Розшифровка 2 до формування'!D200+'Розшифровка 2 до формування'!D218</f>
        <v>667.9</v>
      </c>
      <c r="E28" s="92">
        <f>'Розшифровка 2 до формування'!E13+'Розшифровка 2 до формування'!E59+'Розшифровка 2 до формування'!E103+'Розшифровка 2 до формування'!E161+'Розшифровка 2 до формування'!E200+'Розшифровка 2 до формування'!E218</f>
        <v>75</v>
      </c>
      <c r="F28" s="14">
        <f>'Розшифровка 2 до формування'!F13+'Розшифровка 2 до формування'!F59+'Розшифровка 2 до формування'!F103+'Розшифровка 2 до формування'!F161+'Розшифровка 2 до формування'!F200+'Розшифровка 2 до формування'!F218</f>
        <v>971.30000000000007</v>
      </c>
      <c r="G28" s="11">
        <f t="shared" si="2"/>
        <v>896.30000000000007</v>
      </c>
      <c r="H28" s="11">
        <f t="shared" si="3"/>
        <v>1295.0666666666666</v>
      </c>
    </row>
    <row r="29" spans="1:30" ht="39" customHeight="1">
      <c r="A29" s="18"/>
      <c r="B29" s="13" t="s">
        <v>160</v>
      </c>
      <c r="C29" s="8"/>
      <c r="D29" s="14">
        <f>'Розшифровка 2 до формування'!D60+'Розшифровка 2 до формування'!D104+'Розшифровка 2 до формування'!D162+'Розшифровка 2 до формування'!D199+'Розшифровка 2 до формування'!D219+'Розшифровка 2 до формування'!D14</f>
        <v>209.5</v>
      </c>
      <c r="E29" s="92">
        <f>'Розшифровка 2 до формування'!E60+'Розшифровка 2 до формування'!E104+'Розшифровка 2 до формування'!E162+'Розшифровка 2 до формування'!E199+'Розшифровка 2 до формування'!E219+'Розшифровка 2 до формування'!E14</f>
        <v>851</v>
      </c>
      <c r="F29" s="14">
        <f>'Розшифровка 2 до формування'!F60+'Розшифровка 2 до формування'!F104+'Розшифровка 2 до формування'!F162+'Розшифровка 2 до формування'!F199+'Розшифровка 2 до формування'!F219+'Розшифровка 2 до формування'!F14</f>
        <v>318.20000000000005</v>
      </c>
      <c r="G29" s="11">
        <f t="shared" si="2"/>
        <v>-532.79999999999995</v>
      </c>
      <c r="H29" s="50">
        <f t="shared" si="3"/>
        <v>37.391304347826093</v>
      </c>
    </row>
    <row r="30" spans="1:30" ht="35.25" customHeight="1">
      <c r="A30" s="303" t="s">
        <v>81</v>
      </c>
      <c r="B30" s="303"/>
      <c r="C30" s="156">
        <v>1015</v>
      </c>
      <c r="D30" s="10">
        <f>SUM(D31:D58)</f>
        <v>10173.5</v>
      </c>
      <c r="E30" s="10">
        <f>SUM(E31:E58)</f>
        <v>16283.3</v>
      </c>
      <c r="F30" s="10">
        <f>SUM(F31:F58)</f>
        <v>13648.8</v>
      </c>
      <c r="G30" s="15">
        <f t="shared" si="2"/>
        <v>-2634.5</v>
      </c>
      <c r="H30" s="15">
        <f t="shared" si="3"/>
        <v>83.820847125582659</v>
      </c>
      <c r="I30" s="16"/>
      <c r="J30" s="16"/>
      <c r="K30" s="16"/>
    </row>
    <row r="31" spans="1:30" ht="31.5" customHeight="1">
      <c r="A31" s="156"/>
      <c r="B31" s="168" t="s">
        <v>144</v>
      </c>
      <c r="C31" s="156"/>
      <c r="D31" s="14">
        <f>'Розшифровка 2 до формування'!D20</f>
        <v>48.9</v>
      </c>
      <c r="E31" s="14">
        <f>'Розшифровка 2 до формування'!E20</f>
        <v>172.5</v>
      </c>
      <c r="F31" s="14">
        <f>'Розшифровка 2 до формування'!F20</f>
        <v>196</v>
      </c>
      <c r="G31" s="11">
        <f t="shared" si="2"/>
        <v>23.5</v>
      </c>
      <c r="H31" s="11">
        <f t="shared" si="3"/>
        <v>113.62318840579711</v>
      </c>
      <c r="K31" s="16"/>
    </row>
    <row r="32" spans="1:30" ht="30" customHeight="1">
      <c r="A32" s="156"/>
      <c r="B32" s="13" t="s">
        <v>145</v>
      </c>
      <c r="C32" s="156"/>
      <c r="D32" s="14">
        <f>'Розшифровка 2 до формування'!D21+'Розшифровка 2 до формування'!D164</f>
        <v>554.70000000000005</v>
      </c>
      <c r="E32" s="14">
        <f>'Розшифровка 2 до формування'!E21+'Розшифровка 2 до формування'!E164</f>
        <v>900</v>
      </c>
      <c r="F32" s="14">
        <f>'Розшифровка 2 до формування'!F21+'Розшифровка 2 до формування'!F164</f>
        <v>618.1</v>
      </c>
      <c r="G32" s="11">
        <f t="shared" ref="G32:G58" si="4">F32-E32</f>
        <v>-281.89999999999998</v>
      </c>
      <c r="H32" s="11">
        <f t="shared" ref="H32:H58" si="5">(F32/E32)*100</f>
        <v>68.677777777777777</v>
      </c>
    </row>
    <row r="33" spans="1:14" ht="30.75" customHeight="1">
      <c r="A33" s="156"/>
      <c r="B33" s="13" t="s">
        <v>146</v>
      </c>
      <c r="C33" s="156"/>
      <c r="D33" s="14">
        <f>'Розшифровка 2 до формування'!D22</f>
        <v>62.6</v>
      </c>
      <c r="E33" s="14">
        <f>'Розшифровка 2 до формування'!E22</f>
        <v>67.5</v>
      </c>
      <c r="F33" s="14">
        <f>'Розшифровка 2 до формування'!F22</f>
        <v>52.1</v>
      </c>
      <c r="G33" s="11">
        <f t="shared" si="4"/>
        <v>-15.399999999999999</v>
      </c>
      <c r="H33" s="11">
        <f t="shared" si="5"/>
        <v>77.18518518518519</v>
      </c>
    </row>
    <row r="34" spans="1:14" ht="30" customHeight="1">
      <c r="A34" s="156"/>
      <c r="B34" s="13" t="s">
        <v>147</v>
      </c>
      <c r="C34" s="156"/>
      <c r="D34" s="14">
        <f>'Розшифровка 2 до формування'!D23+'Розшифровка 2 до формування'!D165+'Розшифровка 2 до формування'!D203</f>
        <v>290.60000000000002</v>
      </c>
      <c r="E34" s="14">
        <f>'Розшифровка 2 до формування'!E23+'Розшифровка 2 до формування'!E165+'Розшифровка 2 до формування'!E203</f>
        <v>997.5</v>
      </c>
      <c r="F34" s="14">
        <f>'Розшифровка 2 до формування'!F23+'Розшифровка 2 до формування'!F165+'Розшифровка 2 до формування'!F203</f>
        <v>121.6</v>
      </c>
      <c r="G34" s="11">
        <f t="shared" si="4"/>
        <v>-875.9</v>
      </c>
      <c r="H34" s="11">
        <f t="shared" si="5"/>
        <v>12.19047619047619</v>
      </c>
    </row>
    <row r="35" spans="1:14" ht="29.25" customHeight="1">
      <c r="A35" s="156"/>
      <c r="B35" s="13" t="s">
        <v>257</v>
      </c>
      <c r="C35" s="156"/>
      <c r="D35" s="14">
        <f>'Розшифровка 2 до формування'!D24</f>
        <v>0</v>
      </c>
      <c r="E35" s="14">
        <f>'Розшифровка 2 до формування'!E24</f>
        <v>318.60000000000002</v>
      </c>
      <c r="F35" s="14">
        <f>'Розшифровка 2 до формування'!F24</f>
        <v>0</v>
      </c>
      <c r="G35" s="11">
        <f t="shared" si="4"/>
        <v>-318.60000000000002</v>
      </c>
      <c r="H35" s="11">
        <f t="shared" si="5"/>
        <v>0</v>
      </c>
    </row>
    <row r="36" spans="1:14" ht="27.75" customHeight="1">
      <c r="A36" s="156"/>
      <c r="B36" s="13" t="s">
        <v>255</v>
      </c>
      <c r="C36" s="156"/>
      <c r="D36" s="14">
        <f>'Розшифровка 2 до формування'!D25+'Розшифровка 2 до формування'!D204</f>
        <v>209.4</v>
      </c>
      <c r="E36" s="14">
        <f>'Розшифровка 2 до формування'!E25+'Розшифровка 2 до формування'!E204</f>
        <v>1807.5</v>
      </c>
      <c r="F36" s="14">
        <f>'Розшифровка 2 до формування'!F25+'Розшифровка 2 до формування'!F204</f>
        <v>497</v>
      </c>
      <c r="G36" s="11">
        <f t="shared" si="4"/>
        <v>-1310.5</v>
      </c>
      <c r="H36" s="11">
        <f t="shared" si="5"/>
        <v>27.496542185338868</v>
      </c>
    </row>
    <row r="37" spans="1:14" ht="43.5" customHeight="1">
      <c r="A37" s="156"/>
      <c r="B37" s="13" t="s">
        <v>174</v>
      </c>
      <c r="C37" s="156"/>
      <c r="D37" s="14">
        <f>'Розшифровка 2 до формування'!D28+'Розшифровка 2 до формування'!D68+'Розшифровка 2 до формування'!D106+'Розшифровка 2 до формування'!D167+'Розшифровка 2 до формування'!D207+'Розшифровка 2 до формування'!D224</f>
        <v>233.6</v>
      </c>
      <c r="E37" s="14">
        <f>'Розшифровка 2 до формування'!E28+'Розшифровка 2 до формування'!E68+'Розшифровка 2 до формування'!E106+'Розшифровка 2 до формування'!E167+'Розшифровка 2 до формування'!E207+'Розшифровка 2 до формування'!E224</f>
        <v>330</v>
      </c>
      <c r="F37" s="14">
        <f>'Розшифровка 2 до формування'!F28+'Розшифровка 2 до формування'!F68+'Розшифровка 2 до формування'!F106+'Розшифровка 2 до формування'!F167+'Розшифровка 2 до формування'!F207+'Розшифровка 2 до формування'!F224</f>
        <v>454.29999999999995</v>
      </c>
      <c r="G37" s="11">
        <f t="shared" si="4"/>
        <v>124.29999999999995</v>
      </c>
      <c r="H37" s="11">
        <f t="shared" si="5"/>
        <v>137.66666666666666</v>
      </c>
    </row>
    <row r="38" spans="1:14" ht="40.5" customHeight="1">
      <c r="A38" s="156"/>
      <c r="B38" s="168" t="s">
        <v>148</v>
      </c>
      <c r="C38" s="156"/>
      <c r="D38" s="14">
        <f>'Розшифровка 2 до формування'!D26+'Розшифровка 2 до формування'!D65+'Розшифровка 2 до формування'!D133+'Розшифровка 2 до формування'!D166+'Розшифровка 2 до формування'!D206</f>
        <v>912.4</v>
      </c>
      <c r="E38" s="14">
        <f>'Розшифровка 2 до формування'!E26+'Розшифровка 2 до формування'!E65+'Розшифровка 2 до формування'!E133+'Розшифровка 2 до формування'!E166+'Розшифровка 2 до формування'!E206</f>
        <v>880.4</v>
      </c>
      <c r="F38" s="14">
        <f>'Розшифровка 2 до формування'!F26+'Розшифровка 2 до формування'!F65+'Розшифровка 2 до формування'!F133+'Розшифровка 2 до формування'!F166+'Розшифровка 2 до формування'!F206</f>
        <v>425.40000000000003</v>
      </c>
      <c r="G38" s="11">
        <f t="shared" si="4"/>
        <v>-454.99999999999994</v>
      </c>
      <c r="H38" s="11">
        <f t="shared" si="5"/>
        <v>48.318945933666519</v>
      </c>
    </row>
    <row r="39" spans="1:14" ht="28.5" customHeight="1">
      <c r="A39" s="19"/>
      <c r="B39" s="168" t="s">
        <v>149</v>
      </c>
      <c r="C39" s="8"/>
      <c r="D39" s="14">
        <f>'Розшифровка 2 до формування'!D27</f>
        <v>96.4</v>
      </c>
      <c r="E39" s="14">
        <f>'Розшифровка 2 до формування'!E27</f>
        <v>150</v>
      </c>
      <c r="F39" s="14">
        <f>'Розшифровка 2 до формування'!F27</f>
        <v>195.5</v>
      </c>
      <c r="G39" s="11">
        <f t="shared" si="4"/>
        <v>45.5</v>
      </c>
      <c r="H39" s="11">
        <f t="shared" si="5"/>
        <v>130.33333333333331</v>
      </c>
    </row>
    <row r="40" spans="1:14" ht="28.5" customHeight="1">
      <c r="A40" s="19"/>
      <c r="B40" s="168" t="s">
        <v>221</v>
      </c>
      <c r="C40" s="8"/>
      <c r="D40" s="14">
        <f>'Розшифровка 2 до формування'!D66+'Розшифровка 2 до формування'!D168</f>
        <v>28.8</v>
      </c>
      <c r="E40" s="14">
        <f>'Розшифровка 2 до формування'!E66+'Розшифровка 2 до формування'!E168</f>
        <v>32</v>
      </c>
      <c r="F40" s="14">
        <f>'Розшифровка 2 до формування'!F66+'Розшифровка 2 до формування'!F168</f>
        <v>39.299999999999997</v>
      </c>
      <c r="G40" s="11">
        <f t="shared" si="4"/>
        <v>7.2999999999999972</v>
      </c>
      <c r="H40" s="11">
        <f t="shared" si="5"/>
        <v>122.81249999999999</v>
      </c>
    </row>
    <row r="41" spans="1:14" ht="27" customHeight="1">
      <c r="A41" s="19"/>
      <c r="B41" s="168" t="s">
        <v>161</v>
      </c>
      <c r="C41" s="8"/>
      <c r="D41" s="14">
        <f>'Розшифровка 2 до формування'!D32+'Розшифровка 2 до формування'!D67+'Розшифровка 2 до формування'!D226</f>
        <v>2.8</v>
      </c>
      <c r="E41" s="14">
        <f>'Розшифровка 2 до формування'!E32+'Розшифровка 2 до формування'!E67+'Розшифровка 2 до формування'!E226</f>
        <v>3.1</v>
      </c>
      <c r="F41" s="14">
        <f>'Розшифровка 2 до формування'!F32+'Розшифровка 2 до формування'!F67+'Розшифровка 2 до формування'!F226</f>
        <v>22.6</v>
      </c>
      <c r="G41" s="11">
        <f t="shared" si="4"/>
        <v>19.5</v>
      </c>
      <c r="H41" s="11">
        <f t="shared" si="5"/>
        <v>729.03225806451621</v>
      </c>
    </row>
    <row r="42" spans="1:14" ht="28.5" customHeight="1">
      <c r="A42" s="19"/>
      <c r="B42" s="13" t="s">
        <v>194</v>
      </c>
      <c r="C42" s="8"/>
      <c r="D42" s="14">
        <f>'Розшифровка 2 до формування'!D33+'Розшифровка 2 до формування'!D69+'Розшифровка 2 до формування'!D107+'Розшифровка 2 до формування'!D169+'Розшифровка 2 до формування'!D227</f>
        <v>121.3</v>
      </c>
      <c r="E42" s="14">
        <f>'Розшифровка 2 до формування'!E33+'Розшифровка 2 до формування'!E69+'Розшифровка 2 до формування'!E107+'Розшифровка 2 до формування'!E169+'Розшифровка 2 до формування'!E227</f>
        <v>120</v>
      </c>
      <c r="F42" s="14">
        <f>'Розшифровка 2 до формування'!F33+'Розшифровка 2 до формування'!F69+'Розшифровка 2 до формування'!F107+'Розшифровка 2 до формування'!F169+'Розшифровка 2 до формування'!F227</f>
        <v>178.89999999999998</v>
      </c>
      <c r="G42" s="11">
        <f t="shared" si="4"/>
        <v>58.899999999999977</v>
      </c>
      <c r="H42" s="11">
        <f t="shared" si="5"/>
        <v>149.08333333333331</v>
      </c>
    </row>
    <row r="43" spans="1:14" ht="28.5" customHeight="1">
      <c r="A43" s="19"/>
      <c r="B43" s="13" t="s">
        <v>151</v>
      </c>
      <c r="C43" s="8"/>
      <c r="D43" s="14">
        <f>'Розшифровка 2 до формування'!D222</f>
        <v>6.4</v>
      </c>
      <c r="E43" s="14">
        <f>'Розшифровка 2 до формування'!E222</f>
        <v>0</v>
      </c>
      <c r="F43" s="14">
        <f>'Розшифровка 2 до формування'!F222</f>
        <v>27.4</v>
      </c>
      <c r="G43" s="11">
        <f t="shared" si="4"/>
        <v>27.4</v>
      </c>
      <c r="H43" s="50" t="e">
        <f t="shared" si="5"/>
        <v>#DIV/0!</v>
      </c>
    </row>
    <row r="44" spans="1:14" ht="39" customHeight="1">
      <c r="A44" s="19"/>
      <c r="B44" s="168" t="s">
        <v>163</v>
      </c>
      <c r="C44" s="8"/>
      <c r="D44" s="14">
        <f>'Розшифровка 2 до формування'!D30+'Розшифровка 2 до формування'!D70+'Розшифровка 2 до формування'!D108+'Розшифровка 2 до формування'!D170+'Розшифровка 2 до формування'!D223</f>
        <v>88.9</v>
      </c>
      <c r="E44" s="14">
        <f>'Розшифровка 2 до формування'!E30+'Розшифровка 2 до формування'!E70+'Розшифровка 2 до формування'!E108+'Розшифровка 2 до формування'!E170+'Розшифровка 2 до формування'!E223</f>
        <v>120</v>
      </c>
      <c r="F44" s="14">
        <f>'Розшифровка 2 до формування'!F30+'Розшифровка 2 до формування'!F70+'Розшифровка 2 до формування'!F108+'Розшифровка 2 до формування'!F170+'Розшифровка 2 до формування'!F223</f>
        <v>39.700000000000003</v>
      </c>
      <c r="G44" s="11">
        <f t="shared" si="4"/>
        <v>-80.3</v>
      </c>
      <c r="H44" s="11">
        <f t="shared" si="5"/>
        <v>33.083333333333336</v>
      </c>
    </row>
    <row r="45" spans="1:14" ht="45.75" customHeight="1">
      <c r="A45" s="19"/>
      <c r="B45" s="168" t="s">
        <v>165</v>
      </c>
      <c r="C45" s="8"/>
      <c r="D45" s="14">
        <f>'Розшифровка 2 до формування'!D29</f>
        <v>80.5</v>
      </c>
      <c r="E45" s="14">
        <f>'Розшифровка 2 до формування'!E29</f>
        <v>150</v>
      </c>
      <c r="F45" s="14">
        <f>'Розшифровка 2 до формування'!F29</f>
        <v>481.1</v>
      </c>
      <c r="G45" s="11">
        <f t="shared" si="4"/>
        <v>331.1</v>
      </c>
      <c r="H45" s="11">
        <f t="shared" si="5"/>
        <v>320.73333333333335</v>
      </c>
    </row>
    <row r="46" spans="1:14" ht="50.25" customHeight="1">
      <c r="A46" s="19"/>
      <c r="B46" s="168" t="s">
        <v>312</v>
      </c>
      <c r="C46" s="8"/>
      <c r="D46" s="14">
        <f>'Розшифровка 2 до формування'!D74+'Розшифровка 2 до формування'!D225</f>
        <v>5.7</v>
      </c>
      <c r="E46" s="14">
        <f>'Розшифровка 2 до формування'!E74+'Розшифровка 2 до формування'!E225</f>
        <v>12</v>
      </c>
      <c r="F46" s="14">
        <f>'Розшифровка 2 до формування'!F74+'Розшифровка 2 до формування'!F225</f>
        <v>0</v>
      </c>
      <c r="G46" s="11">
        <f t="shared" si="4"/>
        <v>-12</v>
      </c>
      <c r="H46" s="11">
        <f t="shared" si="5"/>
        <v>0</v>
      </c>
    </row>
    <row r="47" spans="1:14" ht="27.75" customHeight="1">
      <c r="A47" s="19"/>
      <c r="B47" s="299" t="s">
        <v>195</v>
      </c>
      <c r="C47" s="8"/>
      <c r="D47" s="14">
        <f>'Розшифровка 2 до формування'!D72+'Розшифровка 2 до формування'!D205+'Розшифровка 2 до формування'!D173+'Розшифровка 2 до формування'!D110+'Розшифровка 2 до формування'!D31</f>
        <v>404.1</v>
      </c>
      <c r="E47" s="14">
        <f>'Розшифровка 2 до формування'!E72+'Розшифровка 2 до формування'!E205+'Розшифровка 2 до формування'!E173+'Розшифровка 2 до формування'!E110+'Розшифровка 2 до формування'!E31</f>
        <v>1260</v>
      </c>
      <c r="F47" s="14">
        <f>'Розшифровка 2 до формування'!F72+'Розшифровка 2 до формування'!F205+'Розшифровка 2 до формування'!F173+'Розшифровка 2 до формування'!F110+'Розшифровка 2 до формування'!F31</f>
        <v>1340.7</v>
      </c>
      <c r="G47" s="11">
        <f t="shared" si="4"/>
        <v>80.700000000000045</v>
      </c>
      <c r="H47" s="11">
        <f t="shared" si="5"/>
        <v>106.40476190476191</v>
      </c>
      <c r="N47" s="16"/>
    </row>
    <row r="48" spans="1:14" ht="69.75" customHeight="1">
      <c r="A48" s="19"/>
      <c r="B48" s="13" t="s">
        <v>279</v>
      </c>
      <c r="C48" s="8"/>
      <c r="D48" s="14">
        <f>'Розшифровка 2 до формування'!D73+'Розшифровка 2 до формування'!D111+'Розшифровка 2 до формування'!D172</f>
        <v>0</v>
      </c>
      <c r="E48" s="14">
        <f>'Розшифровка 2 до формування'!E73+'Розшифровка 2 до формування'!E111+'Розшифровка 2 до формування'!E172</f>
        <v>388.1</v>
      </c>
      <c r="F48" s="14">
        <f>'Розшифровка 2 до формування'!F73+'Розшифровка 2 до формування'!F111+'Розшифровка 2 до формування'!F172</f>
        <v>187.10000000000002</v>
      </c>
      <c r="G48" s="11">
        <f t="shared" si="4"/>
        <v>-201</v>
      </c>
      <c r="H48" s="11">
        <f t="shared" si="5"/>
        <v>48.209224426694149</v>
      </c>
      <c r="N48" s="16"/>
    </row>
    <row r="49" spans="1:13" ht="30.75" customHeight="1">
      <c r="A49" s="19"/>
      <c r="B49" s="13" t="s">
        <v>206</v>
      </c>
      <c r="C49" s="8"/>
      <c r="D49" s="14">
        <f>'Розшифровка 2 до формування'!D71+'Розшифровка 2 до формування'!D109+'Розшифровка 2 до формування'!D171+'Розшифровка 2 до формування'!D228</f>
        <v>27.7</v>
      </c>
      <c r="E49" s="14">
        <f>'Розшифровка 2 до формування'!E71+'Розшифровка 2 до формування'!E109+'Розшифровка 2 до формування'!E171+'Розшифровка 2 до формування'!E228</f>
        <v>37.5</v>
      </c>
      <c r="F49" s="14">
        <f>'Розшифровка 2 до формування'!F71+'Розшифровка 2 до формування'!F109+'Розшифровка 2 до формування'!F171+'Розшифровка 2 до формування'!F228</f>
        <v>24.4</v>
      </c>
      <c r="G49" s="11">
        <f t="shared" si="4"/>
        <v>-13.100000000000001</v>
      </c>
      <c r="H49" s="11">
        <f t="shared" si="5"/>
        <v>65.066666666666663</v>
      </c>
    </row>
    <row r="50" spans="1:13" ht="30" customHeight="1">
      <c r="A50" s="19"/>
      <c r="B50" s="168" t="s">
        <v>167</v>
      </c>
      <c r="C50" s="8"/>
      <c r="D50" s="14">
        <f>'Розшифровка 2 до формування'!D77+'Розшифровка 2 до формування'!D112+'Розшифровка 2 до формування'!D134</f>
        <v>4161.8999999999996</v>
      </c>
      <c r="E50" s="14">
        <f>'Розшифровка 2 до формування'!E77+'Розшифровка 2 до формування'!E112+'Розшифровка 2 до формування'!E134</f>
        <v>4787.8</v>
      </c>
      <c r="F50" s="14">
        <f>'Розшифровка 2 до формування'!F77+'Розшифровка 2 до формування'!F112+'Розшифровка 2 до формування'!F134</f>
        <v>5387.5999999999995</v>
      </c>
      <c r="G50" s="11">
        <f t="shared" si="4"/>
        <v>599.79999999999927</v>
      </c>
      <c r="H50" s="11">
        <f t="shared" si="5"/>
        <v>112.52767450603616</v>
      </c>
    </row>
    <row r="51" spans="1:13" ht="31.5" customHeight="1">
      <c r="A51" s="19"/>
      <c r="B51" s="298" t="s">
        <v>168</v>
      </c>
      <c r="C51" s="8"/>
      <c r="D51" s="14">
        <f>'Розшифровка 2 до формування'!D78+'Розшифровка 2 до формування'!D113+'Розшифровка 2 до формування'!D135</f>
        <v>507.40000000000003</v>
      </c>
      <c r="E51" s="14">
        <f>'Розшифровка 2 до формування'!E78+'Розшифровка 2 до формування'!E113+'Розшифровка 2 до формування'!E135</f>
        <v>654.29999999999995</v>
      </c>
      <c r="F51" s="14">
        <f>'Розшифровка 2 до формування'!F78+'Розшифровка 2 до формування'!F113+'Розшифровка 2 до формування'!F135</f>
        <v>598.80000000000007</v>
      </c>
      <c r="G51" s="11">
        <f t="shared" si="4"/>
        <v>-55.499999999999886</v>
      </c>
      <c r="H51" s="11">
        <f t="shared" si="5"/>
        <v>91.517652453003222</v>
      </c>
      <c r="K51" s="25"/>
    </row>
    <row r="52" spans="1:13" ht="32.25" customHeight="1">
      <c r="A52" s="19"/>
      <c r="B52" s="298" t="s">
        <v>169</v>
      </c>
      <c r="C52" s="8"/>
      <c r="D52" s="14">
        <f>'Розшифровка 2 до формування'!D79+'Розшифровка 2 до формування'!D114+'Розшифровка 2 до формування'!D136+'Розшифровка 2 до формування'!D208</f>
        <v>2037.3</v>
      </c>
      <c r="E52" s="14">
        <f>'Розшифровка 2 до формування'!E79+'Розшифровка 2 до формування'!E114+'Розшифровка 2 до формування'!E136+'Розшифровка 2 до формування'!E208</f>
        <v>2713.7</v>
      </c>
      <c r="F52" s="14">
        <f>'Розшифровка 2 до формування'!F79+'Розшифровка 2 до формування'!F114+'Розшифровка 2 до формування'!F136+'Розшифровка 2 до формування'!F208</f>
        <v>2343.1999999999998</v>
      </c>
      <c r="G52" s="11">
        <f t="shared" si="4"/>
        <v>-370.5</v>
      </c>
      <c r="H52" s="11">
        <f t="shared" si="5"/>
        <v>86.347053837933458</v>
      </c>
      <c r="K52" s="25"/>
    </row>
    <row r="53" spans="1:13" ht="27.75" customHeight="1">
      <c r="A53" s="19"/>
      <c r="B53" s="298" t="s">
        <v>170</v>
      </c>
      <c r="C53" s="8"/>
      <c r="D53" s="14">
        <f>'Розшифровка 2 до формування'!D80+'Розшифровка 2 до формування'!D137+'Розшифровка 2 до формування'!D209</f>
        <v>206.1</v>
      </c>
      <c r="E53" s="14">
        <f>'Розшифровка 2 до формування'!E80+'Розшифровка 2 до формування'!E137+'Розшифровка 2 до формування'!E209</f>
        <v>300.8</v>
      </c>
      <c r="F53" s="14">
        <f>'Розшифровка 2 до формування'!F80+'Розшифровка 2 до формування'!F137+'Розшифровка 2 до формування'!F209</f>
        <v>331.5</v>
      </c>
      <c r="G53" s="11">
        <f t="shared" si="4"/>
        <v>30.699999999999989</v>
      </c>
      <c r="H53" s="11">
        <f t="shared" si="5"/>
        <v>110.20611702127658</v>
      </c>
      <c r="K53" s="25"/>
    </row>
    <row r="54" spans="1:13" ht="33.75" customHeight="1">
      <c r="A54" s="19"/>
      <c r="B54" s="17" t="s">
        <v>315</v>
      </c>
      <c r="C54" s="8"/>
      <c r="D54" s="14">
        <f>'Розшифровка 2 до формування'!D75</f>
        <v>5.7</v>
      </c>
      <c r="E54" s="14">
        <f>'Розшифровка 2 до формування'!E75</f>
        <v>20</v>
      </c>
      <c r="F54" s="14">
        <f>'Розшифровка 2 до формування'!F75</f>
        <v>0</v>
      </c>
      <c r="G54" s="11">
        <f t="shared" si="4"/>
        <v>-20</v>
      </c>
      <c r="H54" s="11">
        <f t="shared" si="5"/>
        <v>0</v>
      </c>
      <c r="K54" s="25"/>
    </row>
    <row r="55" spans="1:13" ht="33" customHeight="1">
      <c r="A55" s="19"/>
      <c r="B55" s="13" t="s">
        <v>207</v>
      </c>
      <c r="C55" s="8"/>
      <c r="D55" s="14">
        <f>'Розшифровка 2 до формування'!D81+'Розшифровка 2 до формування'!D34</f>
        <v>56.5</v>
      </c>
      <c r="E55" s="14">
        <f>'Розшифровка 2 до формування'!E81+'Розшифровка 2 до формування'!E34</f>
        <v>30</v>
      </c>
      <c r="F55" s="14">
        <f>'Розшифровка 2 до формування'!F81+'Розшифровка 2 до формування'!F34</f>
        <v>11.899999999999999</v>
      </c>
      <c r="G55" s="11">
        <f t="shared" si="4"/>
        <v>-18.100000000000001</v>
      </c>
      <c r="H55" s="11">
        <f t="shared" si="5"/>
        <v>39.666666666666664</v>
      </c>
      <c r="K55" s="25"/>
      <c r="L55" s="16"/>
    </row>
    <row r="56" spans="1:13" ht="31.5" customHeight="1">
      <c r="A56" s="19"/>
      <c r="B56" s="298" t="s">
        <v>209</v>
      </c>
      <c r="C56" s="8"/>
      <c r="D56" s="14">
        <f>'Розшифровка 2 до формування'!D76</f>
        <v>2.9</v>
      </c>
      <c r="E56" s="14">
        <f>'Розшифровка 2 до формування'!E76</f>
        <v>6</v>
      </c>
      <c r="F56" s="14">
        <f>'Розшифровка 2 до формування'!F76</f>
        <v>9.4</v>
      </c>
      <c r="G56" s="11">
        <f t="shared" si="4"/>
        <v>3.4000000000000004</v>
      </c>
      <c r="H56" s="11">
        <f t="shared" si="5"/>
        <v>156.66666666666666</v>
      </c>
    </row>
    <row r="57" spans="1:13" ht="31.5" customHeight="1">
      <c r="A57" s="19"/>
      <c r="B57" s="298" t="s">
        <v>258</v>
      </c>
      <c r="C57" s="8"/>
      <c r="D57" s="14">
        <f>'Розшифровка 2 до формування'!D82+'Розшифровка 2 до формування'!D115</f>
        <v>5.6</v>
      </c>
      <c r="E57" s="14">
        <f>'Розшифровка 2 до формування'!E82+'Розшифровка 2 до формування'!E115</f>
        <v>0</v>
      </c>
      <c r="F57" s="14">
        <f>'Розшифровка 2 до формування'!F82+'Розшифровка 2 до формування'!F115</f>
        <v>37.700000000000003</v>
      </c>
      <c r="G57" s="11">
        <f t="shared" si="4"/>
        <v>37.700000000000003</v>
      </c>
      <c r="H57" s="50" t="e">
        <f t="shared" si="5"/>
        <v>#DIV/0!</v>
      </c>
    </row>
    <row r="58" spans="1:13" ht="31.5" customHeight="1">
      <c r="A58" s="19"/>
      <c r="B58" s="298" t="s">
        <v>280</v>
      </c>
      <c r="C58" s="8"/>
      <c r="D58" s="14">
        <f>'Розшифровка 2 до формування'!D83</f>
        <v>15.3</v>
      </c>
      <c r="E58" s="14">
        <f>'Розшифровка 2 до формування'!E83</f>
        <v>24</v>
      </c>
      <c r="F58" s="14">
        <f>'Розшифровка 2 до формування'!F83</f>
        <v>27.5</v>
      </c>
      <c r="G58" s="11">
        <f t="shared" si="4"/>
        <v>3.5</v>
      </c>
      <c r="H58" s="11">
        <f t="shared" si="5"/>
        <v>114.58333333333333</v>
      </c>
    </row>
    <row r="59" spans="1:13" s="4" customFormat="1" ht="39" customHeight="1">
      <c r="A59" s="201" t="s">
        <v>82</v>
      </c>
      <c r="B59" s="201"/>
      <c r="C59" s="20"/>
      <c r="D59" s="10"/>
      <c r="E59" s="10"/>
      <c r="F59" s="10"/>
      <c r="G59" s="11"/>
      <c r="H59" s="11"/>
    </row>
    <row r="60" spans="1:13" s="4" customFormat="1" ht="32.25" customHeight="1">
      <c r="A60" s="303" t="s">
        <v>80</v>
      </c>
      <c r="B60" s="303"/>
      <c r="C60" s="156">
        <v>1021</v>
      </c>
      <c r="D60" s="10">
        <f>SUM(D61:D61)</f>
        <v>42.2</v>
      </c>
      <c r="E60" s="10">
        <f>SUM(E61:E61)</f>
        <v>0</v>
      </c>
      <c r="F60" s="10">
        <f>SUM(F61:F61)</f>
        <v>45.6</v>
      </c>
      <c r="G60" s="15">
        <f>F60-E60</f>
        <v>45.6</v>
      </c>
      <c r="H60" s="167" t="e">
        <f>(F60/E60)*100</f>
        <v>#DIV/0!</v>
      </c>
    </row>
    <row r="61" spans="1:13" s="4" customFormat="1" ht="33.75" customHeight="1">
      <c r="A61" s="156"/>
      <c r="B61" s="13" t="s">
        <v>173</v>
      </c>
      <c r="C61" s="156"/>
      <c r="D61" s="14">
        <f>'Розшифровка 2 до формування'!D37</f>
        <v>42.2</v>
      </c>
      <c r="E61" s="14"/>
      <c r="F61" s="14">
        <v>45.6</v>
      </c>
      <c r="G61" s="11"/>
      <c r="H61" s="11"/>
      <c r="K61" s="21"/>
    </row>
    <row r="62" spans="1:13" s="4" customFormat="1" ht="31.5" customHeight="1">
      <c r="A62" s="303" t="s">
        <v>83</v>
      </c>
      <c r="B62" s="303"/>
      <c r="C62" s="20">
        <v>1025</v>
      </c>
      <c r="D62" s="10">
        <f>SUM(D63:D81)</f>
        <v>1051.5999999999999</v>
      </c>
      <c r="E62" s="210">
        <f>SUM(E63:E81)</f>
        <v>939.40000000000009</v>
      </c>
      <c r="F62" s="10">
        <f>SUM(F63:F81)</f>
        <v>1280.3000000000002</v>
      </c>
      <c r="G62" s="15">
        <f>F62-E62</f>
        <v>340.90000000000009</v>
      </c>
      <c r="H62" s="15">
        <f>(F62/E62)*100</f>
        <v>136.28912071535021</v>
      </c>
      <c r="J62" s="21"/>
    </row>
    <row r="63" spans="1:13" s="4" customFormat="1" ht="31.5" customHeight="1">
      <c r="A63" s="156"/>
      <c r="B63" s="13" t="s">
        <v>151</v>
      </c>
      <c r="C63" s="20"/>
      <c r="D63" s="14">
        <f>'Розшифровка 2 до формування'!D86+'Розшифровка 2 до формування'!D118+'Розшифровка 2 до формування'!D176+'Розшифровка 2 до формування'!D232</f>
        <v>121.69999999999999</v>
      </c>
      <c r="E63" s="14">
        <f>'Розшифровка 2 до формування'!E86+'Розшифровка 2 до формування'!E118+'Розшифровка 2 до формування'!E176+'Розшифровка 2 до формування'!E232</f>
        <v>150</v>
      </c>
      <c r="F63" s="14">
        <f>'Розшифровка 2 до формування'!F86+'Розшифровка 2 до формування'!F118+'Розшифровка 2 до формування'!F176+'Розшифровка 2 до формування'!F232</f>
        <v>238.60000000000002</v>
      </c>
      <c r="G63" s="11">
        <f t="shared" ref="G63:G71" si="6">F63-E63</f>
        <v>88.600000000000023</v>
      </c>
      <c r="H63" s="11">
        <f t="shared" ref="H63:H71" si="7">(F63/E63)*100</f>
        <v>159.06666666666669</v>
      </c>
      <c r="J63" s="21"/>
    </row>
    <row r="64" spans="1:13" s="4" customFormat="1" ht="28.5" customHeight="1">
      <c r="A64" s="156"/>
      <c r="B64" s="13" t="s">
        <v>156</v>
      </c>
      <c r="C64" s="20"/>
      <c r="D64" s="14">
        <f>'Розшифровка 2 до формування'!D41+'Розшифровка 2 до формування'!D88+'Розшифровка 2 до формування'!D121+'Розшифровка 2 до формування'!D179+'Розшифровка 2 до формування'!D238</f>
        <v>105.7</v>
      </c>
      <c r="E64" s="14">
        <f>'Розшифровка 2 до формування'!E41+'Розшифровка 2 до формування'!E88+'Розшифровка 2 до формування'!E121+'Розшифровка 2 до формування'!E179+'Розшифровка 2 до формування'!E238</f>
        <v>78</v>
      </c>
      <c r="F64" s="14">
        <f>'Розшифровка 2 до формування'!F41+'Розшифровка 2 до формування'!F88+'Розшифровка 2 до формування'!F121+'Розшифровка 2 до формування'!F179+'Розшифровка 2 до формування'!F238</f>
        <v>120.5</v>
      </c>
      <c r="G64" s="11">
        <f t="shared" si="6"/>
        <v>42.5</v>
      </c>
      <c r="H64" s="11">
        <f t="shared" si="7"/>
        <v>154.4871794871795</v>
      </c>
      <c r="M64" s="21"/>
    </row>
    <row r="65" spans="1:8" s="4" customFormat="1" ht="52.5" customHeight="1">
      <c r="A65" s="156"/>
      <c r="B65" s="13" t="s">
        <v>165</v>
      </c>
      <c r="C65" s="20"/>
      <c r="D65" s="14">
        <f>'Розшифровка 2 до формування'!D42+'Розшифровка 2 до формування'!D89+'Розшифровка 2 до формування'!D120+'Розшифровка 2 до формування'!D178+'Розшифровка 2 до формування'!D231</f>
        <v>127.5</v>
      </c>
      <c r="E65" s="14">
        <f>'Розшифровка 2 до формування'!E42+'Розшифровка 2 до формування'!E89+'Розшифровка 2 до формування'!E120+'Розшифровка 2 до формування'!E178+'Розшифровка 2 до формування'!E231</f>
        <v>300</v>
      </c>
      <c r="F65" s="14">
        <f>'Розшифровка 2 до формування'!F42+'Розшифровка 2 до формування'!F89+'Розшифровка 2 до формування'!F120+'Розшифровка 2 до формування'!F178+'Розшифровка 2 до формування'!F231</f>
        <v>198.79999999999998</v>
      </c>
      <c r="G65" s="11">
        <f t="shared" si="6"/>
        <v>-101.20000000000002</v>
      </c>
      <c r="H65" s="11">
        <f t="shared" si="7"/>
        <v>66.266666666666666</v>
      </c>
    </row>
    <row r="66" spans="1:8" s="4" customFormat="1" ht="45" customHeight="1">
      <c r="A66" s="156"/>
      <c r="B66" s="13" t="s">
        <v>163</v>
      </c>
      <c r="C66" s="20"/>
      <c r="D66" s="14">
        <f>'Розшифровка 2 до формування'!D87+'Розшифровка 2 до формування'!D119+'Розшифровка 2 до формування'!D177+'Розшифровка 2 до формування'!D236</f>
        <v>45.2</v>
      </c>
      <c r="E66" s="14">
        <f>'Розшифровка 2 до формування'!E87+'Розшифровка 2 до формування'!E119+'Розшифровка 2 до формування'!E177+'Розшифровка 2 до формування'!E236</f>
        <v>60</v>
      </c>
      <c r="F66" s="14">
        <f>'Розшифровка 2 до формування'!F87+'Розшифровка 2 до формування'!F119+'Розшифровка 2 до формування'!F177+'Розшифровка 2 до формування'!F236</f>
        <v>41.6</v>
      </c>
      <c r="G66" s="11">
        <f t="shared" si="6"/>
        <v>-18.399999999999999</v>
      </c>
      <c r="H66" s="11">
        <f t="shared" si="7"/>
        <v>69.333333333333343</v>
      </c>
    </row>
    <row r="67" spans="1:8" s="4" customFormat="1" ht="28.5" customHeight="1">
      <c r="A67" s="156"/>
      <c r="B67" s="13" t="s">
        <v>185</v>
      </c>
      <c r="C67" s="20"/>
      <c r="D67" s="14">
        <f>'Розшифровка 2 до формування'!D45+'Розшифровка 2 до формування'!D93+'Розшифровка 2 до формування'!D185+'Розшифровка 2 до формування'!D234</f>
        <v>12.200000000000001</v>
      </c>
      <c r="E67" s="14">
        <f>'Розшифровка 2 до формування'!E45+'Розшифровка 2 до формування'!E93+'Розшифровка 2 до формування'!E185+'Розшифровка 2 до формування'!E234</f>
        <v>11.1</v>
      </c>
      <c r="F67" s="14">
        <f>'Розшифровка 2 до формування'!F45+'Розшифровка 2 до формування'!F93+'Розшифровка 2 до формування'!F185+'Розшифровка 2 до формування'!F234</f>
        <v>13.200000000000001</v>
      </c>
      <c r="G67" s="11">
        <f t="shared" si="6"/>
        <v>2.1000000000000014</v>
      </c>
      <c r="H67" s="11">
        <f t="shared" si="7"/>
        <v>118.91891891891892</v>
      </c>
    </row>
    <row r="68" spans="1:8" s="4" customFormat="1" ht="27" customHeight="1">
      <c r="A68" s="156"/>
      <c r="B68" s="13" t="s">
        <v>167</v>
      </c>
      <c r="C68" s="20"/>
      <c r="D68" s="14">
        <f>'Розшифровка 2 до формування'!D140</f>
        <v>203.4</v>
      </c>
      <c r="E68" s="14">
        <f>'Розшифровка 2 до формування'!E140</f>
        <v>106.7</v>
      </c>
      <c r="F68" s="14">
        <f>'Розшифровка 2 до формування'!F140</f>
        <v>88.4</v>
      </c>
      <c r="G68" s="11">
        <f t="shared" si="6"/>
        <v>-18.299999999999997</v>
      </c>
      <c r="H68" s="11">
        <f t="shared" si="7"/>
        <v>82.84910965323337</v>
      </c>
    </row>
    <row r="69" spans="1:8" s="4" customFormat="1" ht="28.5" customHeight="1">
      <c r="A69" s="156"/>
      <c r="B69" s="13" t="s">
        <v>168</v>
      </c>
      <c r="C69" s="20"/>
      <c r="D69" s="14">
        <f>'Розшифровка 2 до формування'!D141</f>
        <v>8.3000000000000007</v>
      </c>
      <c r="E69" s="14">
        <f>'Розшифровка 2 до формування'!E141</f>
        <v>14.5</v>
      </c>
      <c r="F69" s="14">
        <f>'Розшифровка 2 до формування'!F141</f>
        <v>12.6</v>
      </c>
      <c r="G69" s="11">
        <f t="shared" si="6"/>
        <v>-1.9000000000000004</v>
      </c>
      <c r="H69" s="11">
        <f t="shared" si="7"/>
        <v>86.896551724137922</v>
      </c>
    </row>
    <row r="70" spans="1:8" s="4" customFormat="1" ht="30" customHeight="1">
      <c r="A70" s="156"/>
      <c r="B70" s="13" t="s">
        <v>169</v>
      </c>
      <c r="C70" s="20"/>
      <c r="D70" s="14">
        <f>'Розшифровка 2 до формування'!D142</f>
        <v>45.5</v>
      </c>
      <c r="E70" s="14">
        <f>'Розшифровка 2 до формування'!E142</f>
        <v>60.4</v>
      </c>
      <c r="F70" s="14">
        <f>'Розшифровка 2 до формування'!F142</f>
        <v>59</v>
      </c>
      <c r="G70" s="11">
        <f t="shared" si="6"/>
        <v>-1.3999999999999986</v>
      </c>
      <c r="H70" s="11">
        <f t="shared" si="7"/>
        <v>97.682119205298008</v>
      </c>
    </row>
    <row r="71" spans="1:8" s="4" customFormat="1" ht="27" customHeight="1">
      <c r="A71" s="156"/>
      <c r="B71" s="13" t="s">
        <v>170</v>
      </c>
      <c r="C71" s="20"/>
      <c r="D71" s="14">
        <f>'Розшифровка 2 до формування'!D143</f>
        <v>2.8</v>
      </c>
      <c r="E71" s="14">
        <f>'Розшифровка 2 до формування'!E143</f>
        <v>6.7</v>
      </c>
      <c r="F71" s="14">
        <f>'Розшифровка 2 до формування'!F143</f>
        <v>3</v>
      </c>
      <c r="G71" s="11">
        <f t="shared" si="6"/>
        <v>-3.7</v>
      </c>
      <c r="H71" s="11">
        <f t="shared" si="7"/>
        <v>44.776119402985074</v>
      </c>
    </row>
    <row r="72" spans="1:8" s="4" customFormat="1" ht="27" customHeight="1">
      <c r="A72" s="156"/>
      <c r="B72" s="13" t="s">
        <v>251</v>
      </c>
      <c r="C72" s="20"/>
      <c r="D72" s="14">
        <f>'Розшифровка 2 до формування'!D186</f>
        <v>0</v>
      </c>
      <c r="E72" s="14">
        <f>'Розшифровка 2 до формування'!E186</f>
        <v>10</v>
      </c>
      <c r="F72" s="14">
        <f>'Розшифровка 2 до формування'!F186</f>
        <v>0.8</v>
      </c>
      <c r="G72" s="11">
        <f t="shared" ref="G72:G81" si="8">F72-E72</f>
        <v>-9.1999999999999993</v>
      </c>
      <c r="H72" s="11">
        <f t="shared" ref="H72:H81" si="9">(F72/E72)*100</f>
        <v>8</v>
      </c>
    </row>
    <row r="73" spans="1:8" s="4" customFormat="1" ht="31.5" customHeight="1">
      <c r="A73" s="156"/>
      <c r="B73" s="13" t="s">
        <v>166</v>
      </c>
      <c r="C73" s="20"/>
      <c r="D73" s="14">
        <f>'Розшифровка 2 до формування'!D44+'Розшифровка 2 до формування'!D233</f>
        <v>8.8000000000000007</v>
      </c>
      <c r="E73" s="14">
        <f>'Розшифровка 2 до формування'!E44+'Розшифровка 2 до формування'!E233</f>
        <v>0</v>
      </c>
      <c r="F73" s="14">
        <f>'Розшифровка 2 до формування'!F44+'Розшифровка 2 до формування'!F233</f>
        <v>3.1</v>
      </c>
      <c r="G73" s="11">
        <f t="shared" si="8"/>
        <v>3.1</v>
      </c>
      <c r="H73" s="50" t="e">
        <f t="shared" si="9"/>
        <v>#DIV/0!</v>
      </c>
    </row>
    <row r="74" spans="1:8" s="4" customFormat="1" ht="31.5" customHeight="1">
      <c r="A74" s="156"/>
      <c r="B74" s="13" t="s">
        <v>256</v>
      </c>
      <c r="C74" s="20"/>
      <c r="D74" s="14">
        <f>'Розшифровка 2 до формування'!D91</f>
        <v>39.799999999999997</v>
      </c>
      <c r="E74" s="14">
        <f>'Розшифровка 2 до формування'!E91</f>
        <v>0</v>
      </c>
      <c r="F74" s="14">
        <f>'Розшифровка 2 до формування'!F91</f>
        <v>3.8</v>
      </c>
      <c r="G74" s="11">
        <f t="shared" si="8"/>
        <v>3.8</v>
      </c>
      <c r="H74" s="50" t="e">
        <f t="shared" si="9"/>
        <v>#DIV/0!</v>
      </c>
    </row>
    <row r="75" spans="1:8" s="4" customFormat="1" ht="28.5" customHeight="1">
      <c r="A75" s="156"/>
      <c r="B75" s="13" t="s">
        <v>171</v>
      </c>
      <c r="C75" s="20"/>
      <c r="D75" s="14">
        <f>'Розшифровка 2 до формування'!D182</f>
        <v>0</v>
      </c>
      <c r="E75" s="14">
        <f>'Розшифровка 2 до формування'!E182</f>
        <v>0</v>
      </c>
      <c r="F75" s="14">
        <f>'Розшифровка 2 до формування'!F182</f>
        <v>49.099999999999994</v>
      </c>
      <c r="G75" s="11">
        <f t="shared" si="8"/>
        <v>49.099999999999994</v>
      </c>
      <c r="H75" s="50" t="e">
        <f t="shared" si="9"/>
        <v>#DIV/0!</v>
      </c>
    </row>
    <row r="76" spans="1:8" s="4" customFormat="1" ht="28.5" customHeight="1">
      <c r="A76" s="156"/>
      <c r="B76" s="13" t="s">
        <v>245</v>
      </c>
      <c r="C76" s="20"/>
      <c r="D76" s="14">
        <f>'Розшифровка 2 до формування'!D92+'Розшифровка 2 до формування'!D122+'Розшифровка 2 до формування'!D181</f>
        <v>3.6</v>
      </c>
      <c r="E76" s="14">
        <f>'Розшифровка 2 до формування'!E92+'Розшифровка 2 до формування'!E122+'Розшифровка 2 до формування'!E181</f>
        <v>4</v>
      </c>
      <c r="F76" s="14">
        <f>'Розшифровка 2 до формування'!F92+'Розшифровка 2 до формування'!F122+'Розшифровка 2 до формування'!F181</f>
        <v>41.6</v>
      </c>
      <c r="G76" s="11">
        <f t="shared" si="8"/>
        <v>37.6</v>
      </c>
      <c r="H76" s="11">
        <f t="shared" si="9"/>
        <v>1040</v>
      </c>
    </row>
    <row r="77" spans="1:8" s="4" customFormat="1" ht="31.5" customHeight="1">
      <c r="A77" s="156"/>
      <c r="B77" s="13" t="s">
        <v>240</v>
      </c>
      <c r="C77" s="20"/>
      <c r="D77" s="14">
        <f>'Розшифровка 2 до формування'!D90+'Розшифровка 2 до формування'!D123+'Розшифровка 2 до формування'!D180+'Розшифровка 2 до формування'!D237</f>
        <v>21.1</v>
      </c>
      <c r="E77" s="14">
        <f>'Розшифровка 2 до формування'!E90+'Розшифровка 2 до формування'!E123+'Розшифровка 2 до формування'!E180+'Розшифровка 2 до формування'!E237</f>
        <v>108</v>
      </c>
      <c r="F77" s="14">
        <f>'Розшифровка 2 до формування'!F90+'Розшифровка 2 до формування'!F123+'Розшифровка 2 до формування'!F180+'Розшифровка 2 до формування'!F237</f>
        <v>166.29999999999998</v>
      </c>
      <c r="G77" s="11">
        <f t="shared" si="8"/>
        <v>58.299999999999983</v>
      </c>
      <c r="H77" s="11">
        <f t="shared" si="9"/>
        <v>153.98148148148147</v>
      </c>
    </row>
    <row r="78" spans="1:8" s="4" customFormat="1" ht="31.5" customHeight="1">
      <c r="A78" s="156"/>
      <c r="B78" s="13" t="s">
        <v>309</v>
      </c>
      <c r="C78" s="20"/>
      <c r="D78" s="14">
        <f>'Розшифровка 2 до формування'!D46</f>
        <v>198</v>
      </c>
      <c r="E78" s="14">
        <f>'Розшифровка 2 до формування'!E46</f>
        <v>0</v>
      </c>
      <c r="F78" s="14">
        <f>'Розшифровка 2 до формування'!F46</f>
        <v>0</v>
      </c>
      <c r="G78" s="11">
        <f t="shared" ref="G78:G79" si="10">F78-E78</f>
        <v>0</v>
      </c>
      <c r="H78" s="50" t="e">
        <f t="shared" ref="H78:H79" si="11">(F78/E78)*100</f>
        <v>#DIV/0!</v>
      </c>
    </row>
    <row r="79" spans="1:8" s="4" customFormat="1" ht="51" customHeight="1">
      <c r="A79" s="156"/>
      <c r="B79" s="13" t="s">
        <v>308</v>
      </c>
      <c r="C79" s="20"/>
      <c r="D79" s="14">
        <f>'Розшифровка 2 до формування'!D43</f>
        <v>23.1</v>
      </c>
      <c r="E79" s="14">
        <f>'Розшифровка 2 до формування'!E43</f>
        <v>30</v>
      </c>
      <c r="F79" s="14">
        <f>'Розшифровка 2 до формування'!F43</f>
        <v>0</v>
      </c>
      <c r="G79" s="11">
        <f t="shared" si="10"/>
        <v>-30</v>
      </c>
      <c r="H79" s="11">
        <f t="shared" si="11"/>
        <v>0</v>
      </c>
    </row>
    <row r="80" spans="1:8" s="4" customFormat="1" ht="31.5" customHeight="1">
      <c r="A80" s="156"/>
      <c r="B80" s="13" t="s">
        <v>224</v>
      </c>
      <c r="C80" s="20"/>
      <c r="D80" s="14">
        <f>'Розшифровка 2 до формування'!D124+'Розшифровка 2 до формування'!D183</f>
        <v>74.400000000000006</v>
      </c>
      <c r="E80" s="14">
        <f>'Розшифровка 2 до формування'!E124+'Розшифровка 2 до формування'!E183</f>
        <v>0</v>
      </c>
      <c r="F80" s="14">
        <f>'Розшифровка 2 до формування'!F124+'Розшифровка 2 до формування'!F183</f>
        <v>194.4</v>
      </c>
      <c r="G80" s="11">
        <f t="shared" si="8"/>
        <v>194.4</v>
      </c>
      <c r="H80" s="50" t="e">
        <f t="shared" si="9"/>
        <v>#DIV/0!</v>
      </c>
    </row>
    <row r="81" spans="1:11" s="4" customFormat="1" ht="31.5" customHeight="1">
      <c r="A81" s="156"/>
      <c r="B81" s="13" t="s">
        <v>244</v>
      </c>
      <c r="C81" s="20"/>
      <c r="D81" s="14">
        <f>'Розшифровка 2 до формування'!D184+'Розшифровка 2 до формування'!D235</f>
        <v>10.5</v>
      </c>
      <c r="E81" s="14">
        <f>'Розшифровка 2 до формування'!E184+'Розшифровка 2 до формування'!E235</f>
        <v>0</v>
      </c>
      <c r="F81" s="14">
        <f>'Розшифровка 2 до формування'!F184+'Розшифровка 2 до формування'!F235</f>
        <v>45.5</v>
      </c>
      <c r="G81" s="11">
        <f t="shared" si="8"/>
        <v>45.5</v>
      </c>
      <c r="H81" s="50" t="e">
        <f t="shared" si="9"/>
        <v>#DIV/0!</v>
      </c>
    </row>
    <row r="82" spans="1:11" s="4" customFormat="1" ht="37.5" customHeight="1">
      <c r="A82" s="201" t="s">
        <v>120</v>
      </c>
      <c r="B82" s="201"/>
      <c r="C82" s="20"/>
      <c r="D82" s="14"/>
      <c r="E82" s="10"/>
      <c r="F82" s="10"/>
      <c r="G82" s="11"/>
      <c r="H82" s="11"/>
    </row>
    <row r="83" spans="1:11" s="4" customFormat="1" ht="37.5" customHeight="1">
      <c r="A83" s="201" t="s">
        <v>93</v>
      </c>
      <c r="B83" s="201"/>
      <c r="C83" s="20">
        <v>1035</v>
      </c>
      <c r="D83" s="10">
        <f>SUM(D84:D91)</f>
        <v>220.49999999999997</v>
      </c>
      <c r="E83" s="10">
        <f>SUM(E84:E91)</f>
        <v>413</v>
      </c>
      <c r="F83" s="10">
        <f>SUM(F84:F91)</f>
        <v>562.59999999999991</v>
      </c>
      <c r="G83" s="15">
        <f t="shared" ref="G83:G84" si="12">F83-E83</f>
        <v>149.59999999999991</v>
      </c>
      <c r="H83" s="15">
        <f t="shared" ref="H83:H84" si="13">(F83/E83)*100</f>
        <v>136.22276029055689</v>
      </c>
      <c r="J83" s="21"/>
    </row>
    <row r="84" spans="1:11" s="4" customFormat="1" ht="32.25" customHeight="1">
      <c r="A84" s="181"/>
      <c r="B84" s="13" t="s">
        <v>167</v>
      </c>
      <c r="C84" s="20"/>
      <c r="D84" s="14">
        <f>'Розшифровка 2 до формування'!D154</f>
        <v>5.9</v>
      </c>
      <c r="E84" s="14">
        <f>'Розшифровка 2 до формування'!E154</f>
        <v>5.4</v>
      </c>
      <c r="F84" s="14">
        <f>'Розшифровка 2 до формування'!F154</f>
        <v>59.1</v>
      </c>
      <c r="G84" s="11">
        <f t="shared" si="12"/>
        <v>53.7</v>
      </c>
      <c r="H84" s="11">
        <f t="shared" si="13"/>
        <v>1094.4444444444446</v>
      </c>
      <c r="J84" s="21"/>
    </row>
    <row r="85" spans="1:11" s="4" customFormat="1" ht="31.5" customHeight="1">
      <c r="A85" s="181"/>
      <c r="B85" s="13" t="s">
        <v>168</v>
      </c>
      <c r="C85" s="20"/>
      <c r="D85" s="14">
        <f>'Розшифровка 2 до формування'!D155</f>
        <v>8.1999999999999993</v>
      </c>
      <c r="E85" s="14">
        <f>'Розшифровка 2 до формування'!E155</f>
        <v>6</v>
      </c>
      <c r="F85" s="14">
        <f>'Розшифровка 2 до формування'!F155</f>
        <v>6.7</v>
      </c>
      <c r="G85" s="11">
        <f t="shared" ref="G85:G91" si="14">F85-E85</f>
        <v>0.70000000000000018</v>
      </c>
      <c r="H85" s="11">
        <f t="shared" ref="H85:H91" si="15">(F85/E85)*100</f>
        <v>111.66666666666667</v>
      </c>
      <c r="K85" s="21"/>
    </row>
    <row r="86" spans="1:11" s="4" customFormat="1" ht="30" customHeight="1">
      <c r="A86" s="181"/>
      <c r="B86" s="13" t="s">
        <v>169</v>
      </c>
      <c r="C86" s="20"/>
      <c r="D86" s="14">
        <f>'Розшифровка 2 до формування'!D156</f>
        <v>72.900000000000006</v>
      </c>
      <c r="E86" s="14">
        <f>'Розшифровка 2 до формування'!E156</f>
        <v>72.900000000000006</v>
      </c>
      <c r="F86" s="14">
        <f>'Розшифровка 2 до формування'!F156</f>
        <v>196.9</v>
      </c>
      <c r="G86" s="11">
        <f t="shared" si="14"/>
        <v>124</v>
      </c>
      <c r="H86" s="11">
        <f t="shared" si="15"/>
        <v>270.09602194787374</v>
      </c>
    </row>
    <row r="87" spans="1:11" s="4" customFormat="1" ht="30" customHeight="1">
      <c r="A87" s="181"/>
      <c r="B87" s="13" t="s">
        <v>225</v>
      </c>
      <c r="C87" s="20"/>
      <c r="D87" s="14">
        <f>'Розшифровка 2 до формування'!D51+'Розшифровка 2 до формування'!D98+'Розшифровка 2 до формування'!D212</f>
        <v>48.1</v>
      </c>
      <c r="E87" s="14">
        <f>'Розшифровка 2 до формування'!E51+'Розшифровка 2 до формування'!E98+'Розшифровка 2 до формування'!E212</f>
        <v>74</v>
      </c>
      <c r="F87" s="14">
        <f>'Розшифровка 2 до формування'!F51+'Розшифровка 2 до формування'!F98+'Розшифровка 2 до формування'!F212</f>
        <v>93.2</v>
      </c>
      <c r="G87" s="11">
        <f t="shared" si="14"/>
        <v>19.200000000000003</v>
      </c>
      <c r="H87" s="11">
        <f t="shared" si="15"/>
        <v>125.94594594594595</v>
      </c>
    </row>
    <row r="88" spans="1:11" s="4" customFormat="1" ht="30" customHeight="1">
      <c r="A88" s="181"/>
      <c r="B88" s="13" t="s">
        <v>250</v>
      </c>
      <c r="C88" s="20"/>
      <c r="D88" s="14">
        <f>'Розшифровка 2 до формування'!D241</f>
        <v>64.8</v>
      </c>
      <c r="E88" s="14">
        <f>'Розшифровка 2 до формування'!E241</f>
        <v>0</v>
      </c>
      <c r="F88" s="14">
        <f>'Розшифровка 2 до формування'!F241</f>
        <v>63.7</v>
      </c>
      <c r="G88" s="11">
        <f t="shared" si="14"/>
        <v>63.7</v>
      </c>
      <c r="H88" s="50" t="e">
        <f t="shared" si="15"/>
        <v>#DIV/0!</v>
      </c>
    </row>
    <row r="89" spans="1:11" s="4" customFormat="1" ht="31.5" customHeight="1">
      <c r="A89" s="181"/>
      <c r="B89" s="13" t="s">
        <v>203</v>
      </c>
      <c r="C89" s="20"/>
      <c r="D89" s="14">
        <f>'Розшифровка 2 до формування'!D191</f>
        <v>19.5</v>
      </c>
      <c r="E89" s="14">
        <f>'Розшифровка 2 до формування'!E191</f>
        <v>0</v>
      </c>
      <c r="F89" s="14">
        <f>'Розшифровка 2 до формування'!F191</f>
        <v>9.8000000000000007</v>
      </c>
      <c r="G89" s="11">
        <f t="shared" si="14"/>
        <v>9.8000000000000007</v>
      </c>
      <c r="H89" s="50" t="e">
        <f t="shared" si="15"/>
        <v>#DIV/0!</v>
      </c>
    </row>
    <row r="90" spans="1:11" s="4" customFormat="1" ht="31.5" customHeight="1">
      <c r="A90" s="181"/>
      <c r="B90" s="13" t="s">
        <v>44</v>
      </c>
      <c r="C90" s="20"/>
      <c r="D90" s="14">
        <f>'Розшифровка 2 до формування'!D96</f>
        <v>1.1000000000000001</v>
      </c>
      <c r="E90" s="14">
        <f>'Розшифровка 2 до формування'!E96</f>
        <v>149.69999999999999</v>
      </c>
      <c r="F90" s="14">
        <f>'Розшифровка 2 до формування'!F96</f>
        <v>133.19999999999999</v>
      </c>
      <c r="G90" s="11">
        <f t="shared" si="14"/>
        <v>-16.5</v>
      </c>
      <c r="H90" s="11">
        <f t="shared" si="15"/>
        <v>88.977955911823642</v>
      </c>
    </row>
    <row r="91" spans="1:11" s="4" customFormat="1" ht="31.5" customHeight="1">
      <c r="A91" s="181"/>
      <c r="B91" s="13" t="s">
        <v>196</v>
      </c>
      <c r="C91" s="20"/>
      <c r="D91" s="14">
        <f>'Розшифровка 2 до формування'!D97</f>
        <v>0</v>
      </c>
      <c r="E91" s="14">
        <f>'Розшифровка 2 до формування'!E97</f>
        <v>105</v>
      </c>
      <c r="F91" s="14">
        <f>'Розшифровка 2 до формування'!F97</f>
        <v>0</v>
      </c>
      <c r="G91" s="11">
        <f t="shared" si="14"/>
        <v>-105</v>
      </c>
      <c r="H91" s="11">
        <f t="shared" si="15"/>
        <v>0</v>
      </c>
    </row>
    <row r="92" spans="1:11">
      <c r="B92" s="6"/>
      <c r="D92" s="86"/>
      <c r="E92" s="5"/>
      <c r="F92" s="5"/>
    </row>
    <row r="93" spans="1:11" ht="24.75" customHeight="1">
      <c r="B93" s="22" t="s">
        <v>211</v>
      </c>
      <c r="C93" s="23"/>
      <c r="D93" s="205"/>
      <c r="E93" s="205"/>
      <c r="F93" s="202" t="s">
        <v>186</v>
      </c>
      <c r="G93" s="202"/>
      <c r="H93" s="202"/>
      <c r="I93" s="24"/>
    </row>
    <row r="94" spans="1:11">
      <c r="B94" s="178" t="s">
        <v>60</v>
      </c>
      <c r="C94" s="1"/>
      <c r="D94" s="206" t="s">
        <v>66</v>
      </c>
      <c r="E94" s="206"/>
      <c r="F94" s="203" t="s">
        <v>17</v>
      </c>
      <c r="G94" s="203"/>
      <c r="H94" s="203"/>
    </row>
    <row r="95" spans="1:11">
      <c r="B95" s="6"/>
      <c r="D95" s="86"/>
      <c r="E95" s="5"/>
      <c r="F95" s="5"/>
    </row>
    <row r="96" spans="1:11">
      <c r="B96" s="6"/>
      <c r="D96" s="86"/>
      <c r="E96" s="5"/>
      <c r="F96" s="5"/>
    </row>
    <row r="97" spans="2:6">
      <c r="B97" s="6"/>
      <c r="D97" s="86"/>
      <c r="E97" s="5"/>
      <c r="F97" s="5"/>
    </row>
    <row r="98" spans="2:6">
      <c r="B98" s="6"/>
      <c r="D98" s="86"/>
      <c r="E98" s="5"/>
      <c r="F98" s="5"/>
    </row>
    <row r="99" spans="2:6">
      <c r="B99" s="6"/>
      <c r="D99" s="86"/>
      <c r="E99" s="5"/>
      <c r="F99" s="5"/>
    </row>
    <row r="100" spans="2:6">
      <c r="B100" s="6"/>
      <c r="D100" s="86"/>
      <c r="E100" s="5"/>
      <c r="F100" s="5"/>
    </row>
    <row r="101" spans="2:6">
      <c r="B101" s="6"/>
      <c r="D101" s="86"/>
      <c r="E101" s="5"/>
      <c r="F101" s="5"/>
    </row>
    <row r="102" spans="2:6">
      <c r="B102" s="6"/>
      <c r="D102" s="86"/>
      <c r="E102" s="5"/>
      <c r="F102" s="5"/>
    </row>
    <row r="103" spans="2:6">
      <c r="B103" s="6"/>
      <c r="D103" s="86"/>
      <c r="E103" s="5"/>
      <c r="F103" s="5"/>
    </row>
    <row r="104" spans="2:6">
      <c r="B104" s="6"/>
      <c r="D104" s="86"/>
      <c r="E104" s="5"/>
      <c r="F104" s="5"/>
    </row>
    <row r="105" spans="2:6">
      <c r="B105" s="6"/>
      <c r="D105" s="86"/>
      <c r="E105" s="5"/>
      <c r="F105" s="5"/>
    </row>
    <row r="106" spans="2:6">
      <c r="B106" s="6"/>
      <c r="D106" s="86"/>
      <c r="E106" s="5"/>
      <c r="F106" s="5"/>
    </row>
    <row r="107" spans="2:6">
      <c r="B107" s="6"/>
      <c r="D107" s="86"/>
      <c r="E107" s="5"/>
      <c r="F107" s="5"/>
    </row>
    <row r="108" spans="2:6">
      <c r="B108" s="6"/>
      <c r="D108" s="86"/>
      <c r="E108" s="5"/>
      <c r="F108" s="5"/>
    </row>
    <row r="109" spans="2:6">
      <c r="B109" s="6"/>
      <c r="D109" s="86"/>
      <c r="E109" s="5"/>
      <c r="F109" s="5"/>
    </row>
    <row r="110" spans="2:6">
      <c r="B110" s="6"/>
      <c r="D110" s="86"/>
      <c r="E110" s="5"/>
      <c r="F110" s="5"/>
    </row>
    <row r="111" spans="2:6">
      <c r="B111" s="6"/>
      <c r="D111" s="86"/>
      <c r="E111" s="5"/>
      <c r="F111" s="5"/>
    </row>
    <row r="112" spans="2:6">
      <c r="B112" s="6"/>
      <c r="D112" s="86"/>
      <c r="E112" s="5"/>
      <c r="F112" s="5"/>
    </row>
    <row r="113" spans="2:6">
      <c r="B113" s="6"/>
      <c r="D113" s="86"/>
      <c r="E113" s="5"/>
      <c r="F113" s="5"/>
    </row>
    <row r="114" spans="2:6">
      <c r="B114" s="6"/>
      <c r="D114" s="86"/>
      <c r="E114" s="5"/>
      <c r="F114" s="5"/>
    </row>
    <row r="115" spans="2:6">
      <c r="B115" s="6"/>
      <c r="D115" s="86"/>
      <c r="E115" s="5"/>
      <c r="F115" s="5"/>
    </row>
    <row r="116" spans="2:6">
      <c r="B116" s="6"/>
      <c r="D116" s="86"/>
      <c r="E116" s="5"/>
      <c r="F116" s="5"/>
    </row>
    <row r="117" spans="2:6">
      <c r="B117" s="6"/>
      <c r="D117" s="86"/>
      <c r="E117" s="5"/>
      <c r="F117" s="5"/>
    </row>
    <row r="118" spans="2:6">
      <c r="B118" s="6"/>
      <c r="D118" s="86"/>
      <c r="E118" s="5"/>
      <c r="F118" s="5"/>
    </row>
    <row r="119" spans="2:6">
      <c r="B119" s="6"/>
      <c r="D119" s="86"/>
      <c r="E119" s="5"/>
      <c r="F119" s="5"/>
    </row>
    <row r="120" spans="2:6">
      <c r="B120" s="6"/>
      <c r="D120" s="86"/>
      <c r="E120" s="5"/>
      <c r="F120" s="5"/>
    </row>
    <row r="121" spans="2:6">
      <c r="B121" s="6"/>
      <c r="D121" s="86"/>
      <c r="E121" s="5"/>
      <c r="F121" s="5"/>
    </row>
    <row r="122" spans="2:6">
      <c r="B122" s="6"/>
      <c r="D122" s="86"/>
      <c r="E122" s="5"/>
      <c r="F122" s="5"/>
    </row>
    <row r="123" spans="2:6">
      <c r="B123" s="6"/>
      <c r="D123" s="86"/>
      <c r="E123" s="5"/>
      <c r="F123" s="5"/>
    </row>
    <row r="124" spans="2:6">
      <c r="B124" s="6"/>
      <c r="D124" s="86"/>
      <c r="E124" s="5"/>
      <c r="F124" s="5"/>
    </row>
    <row r="125" spans="2:6">
      <c r="B125" s="6"/>
      <c r="D125" s="86"/>
      <c r="E125" s="5"/>
      <c r="F125" s="5"/>
    </row>
    <row r="126" spans="2:6">
      <c r="B126" s="6"/>
      <c r="D126" s="86"/>
      <c r="E126" s="5"/>
      <c r="F126" s="5"/>
    </row>
    <row r="127" spans="2:6">
      <c r="B127" s="6"/>
      <c r="D127" s="86"/>
      <c r="E127" s="5"/>
      <c r="F127" s="5"/>
    </row>
    <row r="128" spans="2:6">
      <c r="B128" s="6"/>
      <c r="D128" s="86"/>
      <c r="E128" s="5"/>
      <c r="F128" s="5"/>
    </row>
    <row r="129" spans="2:6">
      <c r="B129" s="6"/>
      <c r="D129" s="86"/>
      <c r="E129" s="5"/>
      <c r="F129" s="5"/>
    </row>
    <row r="130" spans="2:6">
      <c r="B130" s="6"/>
      <c r="D130" s="86"/>
      <c r="E130" s="5"/>
      <c r="F130" s="5"/>
    </row>
    <row r="131" spans="2:6">
      <c r="B131" s="6"/>
      <c r="D131" s="86"/>
      <c r="E131" s="5"/>
      <c r="F131" s="5"/>
    </row>
    <row r="132" spans="2:6">
      <c r="B132" s="6"/>
      <c r="D132" s="86"/>
      <c r="E132" s="5"/>
      <c r="F132" s="5"/>
    </row>
    <row r="133" spans="2:6">
      <c r="B133" s="6"/>
      <c r="D133" s="86"/>
      <c r="E133" s="5"/>
      <c r="F133" s="5"/>
    </row>
    <row r="134" spans="2:6">
      <c r="B134" s="6"/>
      <c r="D134" s="86"/>
      <c r="E134" s="5"/>
      <c r="F134" s="5"/>
    </row>
    <row r="135" spans="2:6">
      <c r="B135" s="6"/>
      <c r="D135" s="86"/>
      <c r="E135" s="5"/>
      <c r="F135" s="5"/>
    </row>
    <row r="136" spans="2:6">
      <c r="B136" s="6"/>
      <c r="D136" s="86"/>
      <c r="E136" s="5"/>
      <c r="F136" s="5"/>
    </row>
    <row r="137" spans="2:6">
      <c r="B137" s="6"/>
      <c r="D137" s="86"/>
      <c r="E137" s="5"/>
      <c r="F137" s="5"/>
    </row>
    <row r="138" spans="2:6">
      <c r="B138" s="6"/>
      <c r="D138" s="86"/>
      <c r="E138" s="5"/>
      <c r="F138" s="5"/>
    </row>
    <row r="139" spans="2:6">
      <c r="B139" s="6"/>
      <c r="D139" s="86"/>
      <c r="E139" s="5"/>
      <c r="F139" s="5"/>
    </row>
    <row r="140" spans="2:6">
      <c r="B140" s="6"/>
      <c r="D140" s="86"/>
      <c r="E140" s="5"/>
      <c r="F140" s="5"/>
    </row>
    <row r="141" spans="2:6">
      <c r="B141" s="6"/>
      <c r="D141" s="86"/>
      <c r="E141" s="5"/>
      <c r="F141" s="5"/>
    </row>
    <row r="142" spans="2:6">
      <c r="B142" s="6"/>
      <c r="D142" s="86"/>
      <c r="E142" s="5"/>
      <c r="F142" s="5"/>
    </row>
    <row r="143" spans="2:6">
      <c r="B143" s="6"/>
      <c r="D143" s="86"/>
      <c r="E143" s="5"/>
      <c r="F143" s="5"/>
    </row>
    <row r="144" spans="2:6">
      <c r="B144" s="6"/>
      <c r="D144" s="86"/>
      <c r="E144" s="5"/>
      <c r="F144" s="5"/>
    </row>
    <row r="145" spans="2:6">
      <c r="B145" s="6"/>
      <c r="D145" s="86"/>
      <c r="E145" s="5"/>
      <c r="F145" s="5"/>
    </row>
    <row r="146" spans="2:6">
      <c r="B146" s="6"/>
      <c r="D146" s="86"/>
      <c r="E146" s="5"/>
      <c r="F146" s="5"/>
    </row>
    <row r="147" spans="2:6">
      <c r="B147" s="6"/>
      <c r="D147" s="86"/>
      <c r="E147" s="5"/>
      <c r="F147" s="5"/>
    </row>
    <row r="148" spans="2:6">
      <c r="B148" s="6"/>
      <c r="D148" s="86"/>
      <c r="E148" s="5"/>
      <c r="F148" s="5"/>
    </row>
    <row r="149" spans="2:6">
      <c r="B149" s="6"/>
    </row>
    <row r="150" spans="2:6">
      <c r="B150" s="7"/>
    </row>
    <row r="151" spans="2:6">
      <c r="B151" s="7"/>
    </row>
    <row r="152" spans="2:6">
      <c r="B152" s="7"/>
    </row>
    <row r="153" spans="2:6">
      <c r="B153" s="7"/>
    </row>
    <row r="154" spans="2:6">
      <c r="B154" s="7"/>
    </row>
    <row r="155" spans="2:6">
      <c r="B155" s="7"/>
    </row>
    <row r="156" spans="2:6">
      <c r="B156" s="7"/>
    </row>
    <row r="157" spans="2:6">
      <c r="B157" s="7"/>
    </row>
    <row r="158" spans="2:6">
      <c r="B158" s="7"/>
    </row>
    <row r="159" spans="2:6">
      <c r="B159" s="7"/>
    </row>
    <row r="160" spans="2:6">
      <c r="B160" s="7"/>
    </row>
    <row r="161" spans="2:2">
      <c r="B161" s="7"/>
    </row>
    <row r="162" spans="2:2">
      <c r="B162" s="7"/>
    </row>
    <row r="163" spans="2:2">
      <c r="B163" s="7"/>
    </row>
    <row r="164" spans="2:2">
      <c r="B164" s="7"/>
    </row>
    <row r="165" spans="2:2">
      <c r="B165" s="7"/>
    </row>
    <row r="166" spans="2:2">
      <c r="B166" s="7"/>
    </row>
    <row r="167" spans="2:2">
      <c r="B167" s="7"/>
    </row>
    <row r="168" spans="2:2">
      <c r="B168" s="7"/>
    </row>
    <row r="169" spans="2:2">
      <c r="B169" s="7"/>
    </row>
    <row r="170" spans="2:2">
      <c r="B170" s="7"/>
    </row>
    <row r="171" spans="2:2">
      <c r="B171" s="7"/>
    </row>
    <row r="172" spans="2:2">
      <c r="B172" s="7"/>
    </row>
    <row r="173" spans="2:2">
      <c r="B173" s="7"/>
    </row>
    <row r="174" spans="2:2">
      <c r="B174" s="7"/>
    </row>
    <row r="175" spans="2:2">
      <c r="B175" s="7"/>
    </row>
    <row r="176" spans="2:2">
      <c r="B176" s="7"/>
    </row>
    <row r="177" spans="2:2">
      <c r="B177" s="7"/>
    </row>
    <row r="178" spans="2:2">
      <c r="B178" s="7"/>
    </row>
    <row r="179" spans="2:2">
      <c r="B179" s="7"/>
    </row>
    <row r="180" spans="2:2">
      <c r="B180" s="7"/>
    </row>
    <row r="181" spans="2:2">
      <c r="B181" s="7"/>
    </row>
    <row r="182" spans="2:2">
      <c r="B182" s="7"/>
    </row>
    <row r="183" spans="2:2">
      <c r="B183" s="7"/>
    </row>
    <row r="184" spans="2:2">
      <c r="B184" s="7"/>
    </row>
    <row r="185" spans="2:2">
      <c r="B185" s="7"/>
    </row>
    <row r="186" spans="2:2">
      <c r="B186" s="7"/>
    </row>
    <row r="187" spans="2:2">
      <c r="B187" s="7"/>
    </row>
    <row r="188" spans="2:2">
      <c r="B188" s="7"/>
    </row>
    <row r="189" spans="2:2">
      <c r="B189" s="7"/>
    </row>
    <row r="190" spans="2:2">
      <c r="B190" s="7"/>
    </row>
    <row r="191" spans="2:2">
      <c r="B191" s="7"/>
    </row>
    <row r="192" spans="2:2">
      <c r="B192" s="7"/>
    </row>
    <row r="193" spans="2:2">
      <c r="B193" s="7"/>
    </row>
    <row r="194" spans="2:2">
      <c r="B194" s="7"/>
    </row>
    <row r="195" spans="2:2">
      <c r="B195" s="7"/>
    </row>
    <row r="196" spans="2:2">
      <c r="B196" s="7"/>
    </row>
    <row r="197" spans="2:2">
      <c r="B197" s="7"/>
    </row>
    <row r="198" spans="2:2">
      <c r="B198" s="7"/>
    </row>
    <row r="199" spans="2:2">
      <c r="B199" s="7"/>
    </row>
    <row r="200" spans="2:2">
      <c r="B200" s="7"/>
    </row>
    <row r="201" spans="2:2">
      <c r="B201" s="7"/>
    </row>
    <row r="202" spans="2:2">
      <c r="B202" s="7"/>
    </row>
    <row r="203" spans="2:2">
      <c r="B203" s="7"/>
    </row>
    <row r="204" spans="2:2">
      <c r="B204" s="7"/>
    </row>
    <row r="205" spans="2:2">
      <c r="B205" s="7"/>
    </row>
    <row r="206" spans="2:2">
      <c r="B206" s="7"/>
    </row>
    <row r="207" spans="2:2">
      <c r="B207" s="7"/>
    </row>
    <row r="208" spans="2:2">
      <c r="B208" s="7"/>
    </row>
    <row r="209" spans="2:2">
      <c r="B209" s="7"/>
    </row>
    <row r="210" spans="2:2">
      <c r="B210" s="7"/>
    </row>
    <row r="211" spans="2:2">
      <c r="B211" s="7"/>
    </row>
    <row r="212" spans="2:2">
      <c r="B212" s="7"/>
    </row>
    <row r="213" spans="2:2">
      <c r="B213" s="7"/>
    </row>
    <row r="214" spans="2:2">
      <c r="B214" s="7"/>
    </row>
    <row r="215" spans="2:2">
      <c r="B215" s="7"/>
    </row>
    <row r="216" spans="2:2">
      <c r="B216" s="7"/>
    </row>
    <row r="217" spans="2:2">
      <c r="B217" s="7"/>
    </row>
    <row r="218" spans="2:2">
      <c r="B218" s="7"/>
    </row>
    <row r="219" spans="2:2">
      <c r="B219" s="7"/>
    </row>
    <row r="220" spans="2:2">
      <c r="B220" s="7"/>
    </row>
    <row r="221" spans="2:2">
      <c r="B221" s="7"/>
    </row>
    <row r="222" spans="2:2">
      <c r="B222" s="7"/>
    </row>
    <row r="223" spans="2:2">
      <c r="B223" s="7"/>
    </row>
    <row r="224" spans="2:2">
      <c r="B224" s="7"/>
    </row>
    <row r="225" spans="2:2">
      <c r="B225" s="7"/>
    </row>
    <row r="226" spans="2:2">
      <c r="B226" s="7"/>
    </row>
    <row r="227" spans="2:2">
      <c r="B227" s="7"/>
    </row>
    <row r="228" spans="2:2">
      <c r="B228" s="7"/>
    </row>
    <row r="229" spans="2:2">
      <c r="B229" s="7"/>
    </row>
    <row r="230" spans="2:2">
      <c r="B230" s="7"/>
    </row>
    <row r="231" spans="2:2">
      <c r="B231" s="7"/>
    </row>
    <row r="232" spans="2:2">
      <c r="B232" s="7"/>
    </row>
    <row r="233" spans="2:2">
      <c r="B233" s="7"/>
    </row>
    <row r="234" spans="2:2">
      <c r="B234" s="7"/>
    </row>
    <row r="235" spans="2:2">
      <c r="B235" s="7"/>
    </row>
    <row r="236" spans="2:2">
      <c r="B236" s="7"/>
    </row>
    <row r="237" spans="2:2">
      <c r="B237" s="7"/>
    </row>
    <row r="238" spans="2:2">
      <c r="B238" s="7"/>
    </row>
    <row r="239" spans="2:2">
      <c r="B239" s="7"/>
    </row>
    <row r="240" spans="2:2">
      <c r="B240" s="7"/>
    </row>
    <row r="241" spans="2:2">
      <c r="B241" s="7"/>
    </row>
    <row r="242" spans="2:2">
      <c r="B242" s="7"/>
    </row>
    <row r="243" spans="2:2">
      <c r="B243" s="7"/>
    </row>
    <row r="244" spans="2:2">
      <c r="B244" s="7"/>
    </row>
    <row r="245" spans="2:2">
      <c r="B245" s="7"/>
    </row>
    <row r="246" spans="2:2">
      <c r="B246" s="7"/>
    </row>
    <row r="247" spans="2:2">
      <c r="B247" s="7"/>
    </row>
    <row r="248" spans="2:2">
      <c r="B248" s="7"/>
    </row>
    <row r="249" spans="2:2">
      <c r="B249" s="7"/>
    </row>
    <row r="250" spans="2:2">
      <c r="B250" s="7"/>
    </row>
    <row r="251" spans="2:2">
      <c r="B251" s="7"/>
    </row>
    <row r="252" spans="2:2">
      <c r="B252" s="7"/>
    </row>
    <row r="253" spans="2:2">
      <c r="B253" s="7"/>
    </row>
    <row r="254" spans="2:2">
      <c r="B254" s="7"/>
    </row>
    <row r="255" spans="2:2">
      <c r="B255" s="7"/>
    </row>
    <row r="256" spans="2:2">
      <c r="B256" s="7"/>
    </row>
    <row r="257" spans="2:2">
      <c r="B257" s="7"/>
    </row>
    <row r="258" spans="2:2">
      <c r="B258" s="7"/>
    </row>
    <row r="259" spans="2:2">
      <c r="B259" s="7"/>
    </row>
    <row r="260" spans="2:2">
      <c r="B260" s="7"/>
    </row>
    <row r="261" spans="2:2">
      <c r="B261" s="7"/>
    </row>
    <row r="262" spans="2:2">
      <c r="B262" s="7"/>
    </row>
    <row r="263" spans="2:2">
      <c r="B263" s="7"/>
    </row>
    <row r="264" spans="2:2">
      <c r="B264" s="7"/>
    </row>
    <row r="265" spans="2:2">
      <c r="B265" s="7"/>
    </row>
    <row r="266" spans="2:2">
      <c r="B266" s="7"/>
    </row>
    <row r="267" spans="2:2">
      <c r="B267" s="7"/>
    </row>
    <row r="268" spans="2:2">
      <c r="B268" s="7"/>
    </row>
    <row r="269" spans="2:2">
      <c r="B269" s="7"/>
    </row>
    <row r="270" spans="2:2">
      <c r="B270" s="7"/>
    </row>
    <row r="271" spans="2:2">
      <c r="B271" s="7"/>
    </row>
    <row r="272" spans="2:2">
      <c r="B272" s="7"/>
    </row>
    <row r="273" spans="2:2">
      <c r="B273" s="7"/>
    </row>
    <row r="274" spans="2:2">
      <c r="B274" s="7"/>
    </row>
    <row r="275" spans="2:2">
      <c r="B275" s="7"/>
    </row>
    <row r="276" spans="2:2">
      <c r="B276" s="7"/>
    </row>
    <row r="277" spans="2:2">
      <c r="B277" s="7"/>
    </row>
    <row r="278" spans="2:2">
      <c r="B278" s="7"/>
    </row>
    <row r="279" spans="2:2">
      <c r="B279" s="7"/>
    </row>
    <row r="280" spans="2:2">
      <c r="B280" s="7"/>
    </row>
    <row r="281" spans="2:2">
      <c r="B281" s="7"/>
    </row>
    <row r="282" spans="2:2">
      <c r="B282" s="7"/>
    </row>
    <row r="283" spans="2:2">
      <c r="B283" s="7"/>
    </row>
    <row r="284" spans="2:2">
      <c r="B284" s="7"/>
    </row>
    <row r="285" spans="2:2">
      <c r="B285" s="7"/>
    </row>
    <row r="286" spans="2:2">
      <c r="B286" s="7"/>
    </row>
    <row r="287" spans="2:2">
      <c r="B287" s="7"/>
    </row>
    <row r="288" spans="2:2">
      <c r="B288" s="7"/>
    </row>
    <row r="289" spans="2:2">
      <c r="B289" s="7"/>
    </row>
    <row r="290" spans="2:2">
      <c r="B290" s="7"/>
    </row>
    <row r="291" spans="2:2">
      <c r="B291" s="7"/>
    </row>
    <row r="292" spans="2:2">
      <c r="B292" s="7"/>
    </row>
    <row r="293" spans="2:2">
      <c r="B293" s="7"/>
    </row>
    <row r="294" spans="2:2">
      <c r="B294" s="7"/>
    </row>
    <row r="295" spans="2:2">
      <c r="B295" s="7"/>
    </row>
    <row r="296" spans="2:2">
      <c r="B296" s="7"/>
    </row>
    <row r="297" spans="2:2">
      <c r="B297" s="7"/>
    </row>
    <row r="298" spans="2:2">
      <c r="B298" s="7"/>
    </row>
    <row r="299" spans="2:2">
      <c r="B299" s="7"/>
    </row>
    <row r="300" spans="2:2">
      <c r="B300" s="7"/>
    </row>
    <row r="301" spans="2:2">
      <c r="B301" s="7"/>
    </row>
    <row r="302" spans="2:2">
      <c r="B302" s="7"/>
    </row>
    <row r="303" spans="2:2">
      <c r="B303" s="7"/>
    </row>
    <row r="304" spans="2:2">
      <c r="B304" s="7"/>
    </row>
    <row r="305" spans="2:2">
      <c r="B305" s="7"/>
    </row>
    <row r="306" spans="2:2">
      <c r="B306" s="7"/>
    </row>
    <row r="307" spans="2:2">
      <c r="B307" s="7"/>
    </row>
    <row r="308" spans="2:2">
      <c r="B308" s="7"/>
    </row>
    <row r="309" spans="2:2">
      <c r="B309" s="7"/>
    </row>
    <row r="310" spans="2:2">
      <c r="B310" s="7"/>
    </row>
    <row r="311" spans="2:2">
      <c r="B311" s="7"/>
    </row>
    <row r="312" spans="2:2">
      <c r="B312" s="7"/>
    </row>
    <row r="313" spans="2:2">
      <c r="B313" s="7"/>
    </row>
    <row r="314" spans="2:2">
      <c r="B314" s="7"/>
    </row>
    <row r="315" spans="2:2">
      <c r="B315" s="7"/>
    </row>
    <row r="316" spans="2:2">
      <c r="B316" s="7"/>
    </row>
  </sheetData>
  <mergeCells count="19">
    <mergeCell ref="B2:F2"/>
    <mergeCell ref="D93:E93"/>
    <mergeCell ref="D94:E94"/>
    <mergeCell ref="A21:B21"/>
    <mergeCell ref="A22:B22"/>
    <mergeCell ref="A23:B23"/>
    <mergeCell ref="A30:B30"/>
    <mergeCell ref="A59:B59"/>
    <mergeCell ref="A60:B60"/>
    <mergeCell ref="A62:B62"/>
    <mergeCell ref="A6:B6"/>
    <mergeCell ref="A7:B7"/>
    <mergeCell ref="A10:B10"/>
    <mergeCell ref="A19:B19"/>
    <mergeCell ref="A17:B17"/>
    <mergeCell ref="A83:B83"/>
    <mergeCell ref="A82:B82"/>
    <mergeCell ref="F93:H93"/>
    <mergeCell ref="F94:H94"/>
  </mergeCells>
  <pageMargins left="0.39370078740157483" right="0.39370078740157483" top="0.78740157480314965" bottom="0.39370078740157483" header="0.31496062992125984" footer="0.31496062992125984"/>
  <pageSetup paperSize="9" scale="82" fitToHeight="7" orientation="landscape" r:id="rId1"/>
  <rowBreaks count="1" manualBreakCount="1">
    <brk id="20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R473"/>
  <sheetViews>
    <sheetView view="pageBreakPreview" zoomScale="70" zoomScaleNormal="70" zoomScaleSheetLayoutView="70" workbookViewId="0">
      <selection activeCell="I11" sqref="I11"/>
    </sheetView>
  </sheetViews>
  <sheetFormatPr defaultColWidth="9.140625" defaultRowHeight="18.75"/>
  <cols>
    <col min="1" max="1" width="10" style="1" customWidth="1"/>
    <col min="2" max="2" width="106.140625" style="1" customWidth="1"/>
    <col min="3" max="3" width="14.140625" style="178" customWidth="1"/>
    <col min="4" max="4" width="16.5703125" style="178" customWidth="1"/>
    <col min="5" max="5" width="17.42578125" style="178" customWidth="1"/>
    <col min="6" max="6" width="18.140625" style="178" customWidth="1"/>
    <col min="7" max="7" width="18.28515625" style="1" customWidth="1"/>
    <col min="8" max="8" width="17.7109375" style="1" customWidth="1"/>
    <col min="9" max="9" width="20.5703125" style="1" customWidth="1"/>
    <col min="10" max="10" width="19" style="80" customWidth="1"/>
    <col min="11" max="11" width="21.85546875" style="4" customWidth="1"/>
    <col min="12" max="12" width="22.7109375" style="1" customWidth="1"/>
    <col min="13" max="13" width="21.85546875" style="1" customWidth="1"/>
    <col min="14" max="14" width="15.85546875" style="1" bestFit="1" customWidth="1"/>
    <col min="15" max="15" width="19.140625" style="178" customWidth="1"/>
    <col min="16" max="16" width="13.28515625" style="1" bestFit="1" customWidth="1"/>
    <col min="17" max="17" width="13.85546875" style="1" bestFit="1" customWidth="1"/>
    <col min="18" max="18" width="14.7109375" style="1" bestFit="1" customWidth="1"/>
    <col min="19" max="19" width="13.42578125" style="1" bestFit="1" customWidth="1"/>
    <col min="20" max="16384" width="9.140625" style="1"/>
  </cols>
  <sheetData>
    <row r="2" spans="1:17" ht="22.5" customHeight="1">
      <c r="A2" s="208" t="s">
        <v>118</v>
      </c>
      <c r="B2" s="208"/>
      <c r="C2" s="208"/>
      <c r="D2" s="208"/>
      <c r="E2" s="208"/>
      <c r="F2" s="208"/>
      <c r="G2" s="208"/>
      <c r="H2" s="208"/>
    </row>
    <row r="3" spans="1:17">
      <c r="B3" s="182"/>
      <c r="C3" s="2"/>
      <c r="D3" s="182"/>
      <c r="E3" s="182"/>
      <c r="F3" s="182"/>
      <c r="H3" s="150" t="s">
        <v>65</v>
      </c>
    </row>
    <row r="4" spans="1:17" ht="81" customHeight="1">
      <c r="A4" s="3" t="s">
        <v>8</v>
      </c>
      <c r="B4" s="3" t="s">
        <v>23</v>
      </c>
      <c r="C4" s="8" t="s">
        <v>5</v>
      </c>
      <c r="D4" s="8" t="s">
        <v>531</v>
      </c>
      <c r="E4" s="8" t="s">
        <v>348</v>
      </c>
      <c r="F4" s="8" t="s">
        <v>352</v>
      </c>
      <c r="G4" s="8" t="s">
        <v>109</v>
      </c>
      <c r="H4" s="8" t="s">
        <v>112</v>
      </c>
      <c r="N4" s="141"/>
      <c r="O4" s="25"/>
    </row>
    <row r="5" spans="1:17" ht="30.75" customHeight="1">
      <c r="A5" s="3">
        <v>1</v>
      </c>
      <c r="B5" s="3">
        <v>2</v>
      </c>
      <c r="C5" s="8">
        <v>3</v>
      </c>
      <c r="D5" s="8">
        <v>4</v>
      </c>
      <c r="E5" s="8">
        <v>5</v>
      </c>
      <c r="F5" s="8">
        <v>6</v>
      </c>
      <c r="G5" s="3">
        <v>7</v>
      </c>
      <c r="H5" s="3">
        <v>8</v>
      </c>
      <c r="I5" s="16"/>
      <c r="K5" s="26"/>
      <c r="M5" s="16"/>
      <c r="N5" s="21"/>
      <c r="O5" s="27"/>
    </row>
    <row r="6" spans="1:17" ht="36" customHeight="1">
      <c r="A6" s="207" t="s">
        <v>84</v>
      </c>
      <c r="B6" s="207"/>
      <c r="C6" s="156"/>
      <c r="D6" s="9">
        <f>SUM(D7,D52,D99,D125,D144,D150,D157,D187,D192,D213,D242)</f>
        <v>129165.6</v>
      </c>
      <c r="E6" s="9">
        <f t="shared" ref="E6:F6" si="0">SUM(E7,E52,E99,E125,E144,E150,E157,E187,E192,E213,E242)</f>
        <v>145234.4</v>
      </c>
      <c r="F6" s="9">
        <f t="shared" si="0"/>
        <v>142794.89999999997</v>
      </c>
      <c r="G6" s="15">
        <f>F6-E6</f>
        <v>-2439.5000000000291</v>
      </c>
      <c r="H6" s="15">
        <f>(F6/E6)*100</f>
        <v>98.320301526360126</v>
      </c>
      <c r="I6" s="16"/>
      <c r="K6" s="21"/>
      <c r="N6" s="82"/>
      <c r="O6" s="28"/>
      <c r="P6" s="16"/>
    </row>
    <row r="7" spans="1:17" ht="39.75" customHeight="1">
      <c r="A7" s="156" t="s">
        <v>85</v>
      </c>
      <c r="B7" s="18" t="s">
        <v>119</v>
      </c>
      <c r="C7" s="156"/>
      <c r="D7" s="10">
        <f>D9+D35+D47</f>
        <v>102669.20000000001</v>
      </c>
      <c r="E7" s="10">
        <f>E9+E35+E47</f>
        <v>120378.50000000001</v>
      </c>
      <c r="F7" s="10">
        <f>F9+F35+F47</f>
        <v>111272.90000000001</v>
      </c>
      <c r="G7" s="15">
        <f>F7-E7</f>
        <v>-9105.6000000000058</v>
      </c>
      <c r="H7" s="15">
        <f>(F7/E7)*100</f>
        <v>92.43585856278321</v>
      </c>
      <c r="I7" s="16"/>
      <c r="K7" s="21">
        <f>K9+K16+K23</f>
        <v>129165.6</v>
      </c>
      <c r="L7" s="21">
        <f t="shared" ref="L7:M7" si="1">L9+L16+L23</f>
        <v>145234.40000000002</v>
      </c>
      <c r="M7" s="21">
        <f t="shared" si="1"/>
        <v>142794.9</v>
      </c>
      <c r="N7" s="30"/>
      <c r="O7" s="29"/>
      <c r="P7" s="30"/>
    </row>
    <row r="8" spans="1:17" ht="31.5" customHeight="1">
      <c r="A8" s="3"/>
      <c r="B8" s="31" t="s">
        <v>86</v>
      </c>
      <c r="C8" s="8"/>
      <c r="D8" s="14"/>
      <c r="E8" s="14"/>
      <c r="F8" s="14"/>
      <c r="G8" s="15"/>
      <c r="H8" s="15"/>
      <c r="I8" s="16"/>
      <c r="K8" s="21"/>
      <c r="L8" s="21"/>
      <c r="M8" s="21"/>
      <c r="N8" s="30"/>
      <c r="O8" s="29"/>
    </row>
    <row r="9" spans="1:17" ht="30" customHeight="1">
      <c r="A9" s="32" t="s">
        <v>87</v>
      </c>
      <c r="B9" s="181" t="s">
        <v>90</v>
      </c>
      <c r="C9" s="156">
        <v>1010</v>
      </c>
      <c r="D9" s="10">
        <f>D10+D16+D17+D19+D18</f>
        <v>95728.1</v>
      </c>
      <c r="E9" s="10">
        <f>E10+E16+E17+E19</f>
        <v>112272.70000000001</v>
      </c>
      <c r="F9" s="10">
        <f>F10+F16+F17+F19+F18</f>
        <v>102609.3</v>
      </c>
      <c r="G9" s="15">
        <f>F9-E9</f>
        <v>-9663.4000000000087</v>
      </c>
      <c r="H9" s="15">
        <f>(F9/E9)*100</f>
        <v>91.392920986134641</v>
      </c>
      <c r="I9" s="16"/>
      <c r="J9" s="80">
        <v>1010</v>
      </c>
      <c r="K9" s="82">
        <f>SUM(D9,D54,D101,D127,D146,D159,D194,D215,D244)</f>
        <v>119847.1</v>
      </c>
      <c r="L9" s="82">
        <f t="shared" ref="L9:M9" si="2">SUM(E9,E54,E101,E127,E146,E159,E194,E215,E244)</f>
        <v>134461.20000000001</v>
      </c>
      <c r="M9" s="82">
        <f t="shared" si="2"/>
        <v>128984.19999999998</v>
      </c>
      <c r="N9" s="30"/>
      <c r="O9" s="29"/>
      <c r="P9" s="4"/>
    </row>
    <row r="10" spans="1:17" ht="28.5" customHeight="1">
      <c r="A10" s="33" t="s">
        <v>136</v>
      </c>
      <c r="B10" s="34" t="s">
        <v>106</v>
      </c>
      <c r="C10" s="35">
        <v>1011</v>
      </c>
      <c r="D10" s="36">
        <f>SUM(D11:D15)</f>
        <v>13888.4</v>
      </c>
      <c r="E10" s="36">
        <f>SUM(E11:E15)</f>
        <v>18840</v>
      </c>
      <c r="F10" s="36">
        <f>SUM(F11:F15)</f>
        <v>13966.099999999999</v>
      </c>
      <c r="G10" s="37">
        <f>F10-E10</f>
        <v>-4873.9000000000015</v>
      </c>
      <c r="H10" s="37">
        <f>(F10/E10)*100</f>
        <v>74.130042462844997</v>
      </c>
      <c r="I10" s="16"/>
      <c r="J10" s="80">
        <v>1011</v>
      </c>
      <c r="K10" s="30">
        <f>SUM(D10,D55,D102,D128,D147,D160,D195,D216,)</f>
        <v>23657.999999999996</v>
      </c>
      <c r="L10" s="30">
        <f t="shared" ref="L10:M10" si="3">SUM(E10,E55,E102,E128,E147,E160,E195,E216,)</f>
        <v>23408</v>
      </c>
      <c r="M10" s="30">
        <f t="shared" si="3"/>
        <v>25788.1</v>
      </c>
      <c r="N10" s="30"/>
      <c r="O10" s="29"/>
      <c r="P10" s="4"/>
      <c r="Q10" s="16"/>
    </row>
    <row r="11" spans="1:17" ht="25.5" customHeight="1">
      <c r="A11" s="38"/>
      <c r="B11" s="13" t="s">
        <v>137</v>
      </c>
      <c r="C11" s="39"/>
      <c r="D11" s="14">
        <v>12577</v>
      </c>
      <c r="E11" s="14">
        <v>16700</v>
      </c>
      <c r="F11" s="14">
        <v>12061.5</v>
      </c>
      <c r="G11" s="11">
        <f t="shared" ref="G11:G74" si="4">F11-E11</f>
        <v>-4638.5</v>
      </c>
      <c r="H11" s="11">
        <f t="shared" ref="H11:H74" si="5">(F11/E11)*100</f>
        <v>72.224550898203589</v>
      </c>
      <c r="J11" s="80">
        <v>1012</v>
      </c>
      <c r="K11" s="30">
        <f>SUM(D16,D61,)</f>
        <v>66935.7</v>
      </c>
      <c r="L11" s="30">
        <f t="shared" ref="L11:M11" si="6">SUM(E16,E61,)</f>
        <v>71503.8</v>
      </c>
      <c r="M11" s="30">
        <f t="shared" si="6"/>
        <v>69580.2</v>
      </c>
      <c r="N11" s="30"/>
      <c r="O11" s="29"/>
      <c r="P11" s="30"/>
    </row>
    <row r="12" spans="1:17" ht="27" customHeight="1">
      <c r="A12" s="38"/>
      <c r="B12" s="13" t="s">
        <v>138</v>
      </c>
      <c r="C12" s="39"/>
      <c r="D12" s="14">
        <v>610.5</v>
      </c>
      <c r="E12" s="14">
        <v>950</v>
      </c>
      <c r="F12" s="14">
        <v>1193.0999999999999</v>
      </c>
      <c r="G12" s="11">
        <f t="shared" si="4"/>
        <v>243.09999999999991</v>
      </c>
      <c r="H12" s="11">
        <f t="shared" si="5"/>
        <v>125.58947368421052</v>
      </c>
      <c r="I12" s="16"/>
      <c r="J12" s="80">
        <v>1013</v>
      </c>
      <c r="K12" s="30">
        <f>SUM(D17,D62,)</f>
        <v>14004.1</v>
      </c>
      <c r="L12" s="30">
        <f t="shared" ref="L12:M12" si="7">SUM(E17,E62,)</f>
        <v>16444.099999999999</v>
      </c>
      <c r="M12" s="30">
        <f t="shared" si="7"/>
        <v>14559.599999999999</v>
      </c>
      <c r="N12" s="30"/>
      <c r="P12" s="4"/>
    </row>
    <row r="13" spans="1:17" ht="39.75" customHeight="1">
      <c r="A13" s="38"/>
      <c r="B13" s="13" t="s">
        <v>159</v>
      </c>
      <c r="C13" s="39"/>
      <c r="D13" s="14">
        <v>495.7</v>
      </c>
      <c r="E13" s="14">
        <v>30</v>
      </c>
      <c r="F13" s="14">
        <v>451.8</v>
      </c>
      <c r="G13" s="11">
        <f t="shared" si="4"/>
        <v>421.8</v>
      </c>
      <c r="H13" s="11">
        <f t="shared" si="5"/>
        <v>1506</v>
      </c>
      <c r="J13" s="80">
        <v>1014</v>
      </c>
      <c r="K13" s="30">
        <f>SUM(D18,D63,D201,D220,D245)</f>
        <v>5075.8</v>
      </c>
      <c r="L13" s="30">
        <f t="shared" ref="L13:M13" si="8">SUM(E18,E63,E201,E220,E245)</f>
        <v>6822</v>
      </c>
      <c r="M13" s="30">
        <f t="shared" si="8"/>
        <v>5407.5000000000009</v>
      </c>
      <c r="N13" s="30"/>
      <c r="O13" s="29"/>
    </row>
    <row r="14" spans="1:17" ht="27.75" customHeight="1">
      <c r="A14" s="38"/>
      <c r="B14" s="296" t="s">
        <v>160</v>
      </c>
      <c r="C14" s="39"/>
      <c r="D14" s="14">
        <v>0.3</v>
      </c>
      <c r="E14" s="14">
        <v>800</v>
      </c>
      <c r="F14" s="14">
        <v>0.4</v>
      </c>
      <c r="G14" s="11">
        <f t="shared" si="4"/>
        <v>-799.6</v>
      </c>
      <c r="H14" s="11">
        <f t="shared" si="5"/>
        <v>0.05</v>
      </c>
      <c r="J14" s="80">
        <v>1015</v>
      </c>
      <c r="K14" s="30">
        <f>SUM(D19,D64,D105,D132,D163,D202,D221)</f>
        <v>10173.5</v>
      </c>
      <c r="L14" s="30">
        <f t="shared" ref="L14:M14" si="9">SUM(E19,E64,E105,E132,E163,E202,E221)</f>
        <v>16283.3</v>
      </c>
      <c r="M14" s="30">
        <f t="shared" si="9"/>
        <v>13648.800000000001</v>
      </c>
      <c r="N14" s="30"/>
      <c r="O14" s="29"/>
    </row>
    <row r="15" spans="1:17" ht="27" customHeight="1">
      <c r="A15" s="38"/>
      <c r="B15" s="13" t="s">
        <v>173</v>
      </c>
      <c r="C15" s="39"/>
      <c r="D15" s="14">
        <v>204.9</v>
      </c>
      <c r="E15" s="14">
        <v>360</v>
      </c>
      <c r="F15" s="14">
        <v>259.3</v>
      </c>
      <c r="G15" s="11">
        <f t="shared" si="4"/>
        <v>-100.69999999999999</v>
      </c>
      <c r="H15" s="11">
        <f t="shared" si="5"/>
        <v>72.027777777777786</v>
      </c>
      <c r="K15" s="30"/>
      <c r="L15" s="30"/>
      <c r="M15" s="30"/>
      <c r="N15" s="82"/>
      <c r="O15" s="82"/>
    </row>
    <row r="16" spans="1:17" ht="26.25" customHeight="1">
      <c r="A16" s="33" t="s">
        <v>139</v>
      </c>
      <c r="B16" s="34" t="s">
        <v>2</v>
      </c>
      <c r="C16" s="41">
        <v>1012</v>
      </c>
      <c r="D16" s="36">
        <v>66761.8</v>
      </c>
      <c r="E16" s="36">
        <v>71346.3</v>
      </c>
      <c r="F16" s="36">
        <v>69504.2</v>
      </c>
      <c r="G16" s="37">
        <f t="shared" si="4"/>
        <v>-1842.1000000000058</v>
      </c>
      <c r="H16" s="37">
        <f t="shared" si="5"/>
        <v>97.418086151629439</v>
      </c>
      <c r="J16" s="80">
        <v>1020</v>
      </c>
      <c r="K16" s="82">
        <f>SUM(D35,D84,D116,D138,D174,D229,D247)</f>
        <v>8005.1999999999989</v>
      </c>
      <c r="L16" s="82">
        <f t="shared" ref="L16:M16" si="10">SUM(E35,E84,E116,E138,E174,E229,E247)</f>
        <v>10360.199999999999</v>
      </c>
      <c r="M16" s="82">
        <f t="shared" si="10"/>
        <v>11829.600000000002</v>
      </c>
      <c r="N16" s="30"/>
      <c r="O16" s="30"/>
    </row>
    <row r="17" spans="1:18" ht="27" customHeight="1">
      <c r="A17" s="33" t="s">
        <v>140</v>
      </c>
      <c r="B17" s="34" t="s">
        <v>3</v>
      </c>
      <c r="C17" s="41">
        <v>1013</v>
      </c>
      <c r="D17" s="36">
        <v>13967.7</v>
      </c>
      <c r="E17" s="36">
        <v>16409.3</v>
      </c>
      <c r="F17" s="36">
        <v>14543.8</v>
      </c>
      <c r="G17" s="37">
        <f t="shared" si="4"/>
        <v>-1865.5</v>
      </c>
      <c r="H17" s="37">
        <f t="shared" si="5"/>
        <v>88.631446801508901</v>
      </c>
      <c r="J17" s="80">
        <v>1021</v>
      </c>
      <c r="K17" s="30">
        <f>SUM(D36,)</f>
        <v>42.2</v>
      </c>
      <c r="L17" s="30">
        <f t="shared" ref="L17:M17" si="11">SUM(E36,)</f>
        <v>0</v>
      </c>
      <c r="M17" s="30">
        <f t="shared" si="11"/>
        <v>45.6</v>
      </c>
      <c r="N17" s="30"/>
      <c r="O17" s="30"/>
      <c r="P17" s="16"/>
      <c r="Q17" s="16"/>
      <c r="R17" s="16"/>
    </row>
    <row r="18" spans="1:18" ht="26.25" customHeight="1">
      <c r="A18" s="33" t="s">
        <v>141</v>
      </c>
      <c r="B18" s="34" t="s">
        <v>4</v>
      </c>
      <c r="C18" s="41">
        <v>1014</v>
      </c>
      <c r="D18" s="36">
        <v>274.10000000000002</v>
      </c>
      <c r="E18" s="36"/>
      <c r="F18" s="36">
        <v>705.6</v>
      </c>
      <c r="G18" s="37">
        <f t="shared" si="4"/>
        <v>705.6</v>
      </c>
      <c r="H18" s="164" t="e">
        <f t="shared" si="5"/>
        <v>#DIV/0!</v>
      </c>
      <c r="I18" s="42"/>
      <c r="J18" s="80">
        <v>1022</v>
      </c>
      <c r="K18" s="30">
        <f>SUM(D38,)</f>
        <v>4556.3</v>
      </c>
      <c r="L18" s="30">
        <f t="shared" ref="L18:M18" si="12">SUM(E38,)</f>
        <v>6498.6</v>
      </c>
      <c r="M18" s="30">
        <f t="shared" si="12"/>
        <v>5843.1</v>
      </c>
      <c r="N18" s="30"/>
      <c r="O18" s="30"/>
    </row>
    <row r="19" spans="1:18" ht="26.25" customHeight="1">
      <c r="A19" s="33" t="s">
        <v>142</v>
      </c>
      <c r="B19" s="34" t="s">
        <v>143</v>
      </c>
      <c r="C19" s="41">
        <v>1015</v>
      </c>
      <c r="D19" s="36">
        <f>SUM(D20:D34)</f>
        <v>836.09999999999991</v>
      </c>
      <c r="E19" s="36">
        <f>SUM(E20:E34)</f>
        <v>5677.1</v>
      </c>
      <c r="F19" s="36">
        <f>SUM(F20:F34)</f>
        <v>3889.6</v>
      </c>
      <c r="G19" s="37">
        <f t="shared" si="4"/>
        <v>-1787.5000000000005</v>
      </c>
      <c r="H19" s="37">
        <f t="shared" si="5"/>
        <v>68.513853904282101</v>
      </c>
      <c r="I19" s="75"/>
      <c r="J19" s="80">
        <v>1023</v>
      </c>
      <c r="K19" s="30">
        <f>SUM(D39,)</f>
        <v>974.7</v>
      </c>
      <c r="L19" s="30">
        <f t="shared" ref="L19:M19" si="13">SUM(E39,)</f>
        <v>1494.2</v>
      </c>
      <c r="M19" s="30">
        <f t="shared" si="13"/>
        <v>1250.4000000000001</v>
      </c>
      <c r="N19" s="30"/>
      <c r="O19" s="30"/>
      <c r="P19" s="30"/>
    </row>
    <row r="20" spans="1:18" ht="27" customHeight="1">
      <c r="A20" s="43"/>
      <c r="B20" s="168" t="s">
        <v>144</v>
      </c>
      <c r="C20" s="12"/>
      <c r="D20" s="14">
        <v>48.9</v>
      </c>
      <c r="E20" s="14">
        <v>172.5</v>
      </c>
      <c r="F20" s="14">
        <f>152.6+43.4</f>
        <v>196</v>
      </c>
      <c r="G20" s="11">
        <f t="shared" si="4"/>
        <v>23.5</v>
      </c>
      <c r="H20" s="11">
        <f t="shared" si="5"/>
        <v>113.62318840579711</v>
      </c>
      <c r="J20" s="80">
        <v>1024</v>
      </c>
      <c r="K20" s="30">
        <f>SUM(D248)</f>
        <v>1380.4</v>
      </c>
      <c r="L20" s="30">
        <f t="shared" ref="L20:M20" si="14">SUM(E248)</f>
        <v>1428</v>
      </c>
      <c r="M20" s="30">
        <f t="shared" si="14"/>
        <v>3410.2</v>
      </c>
      <c r="N20" s="30"/>
      <c r="O20" s="30"/>
      <c r="P20" s="4"/>
    </row>
    <row r="21" spans="1:18" ht="26.25" customHeight="1">
      <c r="A21" s="43"/>
      <c r="B21" s="13" t="s">
        <v>145</v>
      </c>
      <c r="C21" s="12"/>
      <c r="D21" s="14">
        <v>32.200000000000003</v>
      </c>
      <c r="E21" s="14">
        <v>750</v>
      </c>
      <c r="F21" s="14">
        <f>388.6+229.5</f>
        <v>618.1</v>
      </c>
      <c r="G21" s="11">
        <f t="shared" si="4"/>
        <v>-131.89999999999998</v>
      </c>
      <c r="H21" s="11">
        <f t="shared" si="5"/>
        <v>82.413333333333341</v>
      </c>
      <c r="J21" s="80">
        <v>1025</v>
      </c>
      <c r="K21" s="30">
        <f>SUM(D40,D85,D117,D139,D175,D230)</f>
        <v>1051.6000000000001</v>
      </c>
      <c r="L21" s="30">
        <f t="shared" ref="L21:M21" si="15">SUM(E40,E85,E117,E139,E175,E230)</f>
        <v>939.4</v>
      </c>
      <c r="M21" s="30">
        <f t="shared" si="15"/>
        <v>1280.3</v>
      </c>
      <c r="N21" s="30"/>
      <c r="O21" s="29"/>
    </row>
    <row r="22" spans="1:18" ht="26.25" customHeight="1">
      <c r="A22" s="43"/>
      <c r="B22" s="13" t="s">
        <v>146</v>
      </c>
      <c r="C22" s="12"/>
      <c r="D22" s="14">
        <v>62.6</v>
      </c>
      <c r="E22" s="14">
        <v>67.5</v>
      </c>
      <c r="F22" s="14">
        <f>34+18.1</f>
        <v>52.1</v>
      </c>
      <c r="G22" s="11">
        <f t="shared" si="4"/>
        <v>-15.399999999999999</v>
      </c>
      <c r="H22" s="11">
        <f t="shared" si="5"/>
        <v>77.18518518518519</v>
      </c>
      <c r="K22" s="40"/>
      <c r="L22" s="40"/>
      <c r="M22" s="40"/>
      <c r="N22" s="30"/>
      <c r="O22" s="29"/>
      <c r="P22" s="16"/>
    </row>
    <row r="23" spans="1:18" ht="26.25" customHeight="1">
      <c r="A23" s="43"/>
      <c r="B23" s="13" t="s">
        <v>147</v>
      </c>
      <c r="C23" s="12"/>
      <c r="D23" s="14">
        <v>23.5</v>
      </c>
      <c r="E23" s="14">
        <v>825</v>
      </c>
      <c r="F23" s="14">
        <f>87.3+33.3</f>
        <v>120.6</v>
      </c>
      <c r="G23" s="11">
        <f t="shared" si="4"/>
        <v>-704.4</v>
      </c>
      <c r="H23" s="11">
        <f t="shared" si="5"/>
        <v>14.618181818181816</v>
      </c>
      <c r="J23" s="80">
        <v>1030</v>
      </c>
      <c r="K23" s="82">
        <f>SUM(D47,D94,D152,D189,D210,D239)</f>
        <v>1313.3</v>
      </c>
      <c r="L23" s="82">
        <f t="shared" ref="L23:M23" si="16">SUM(E47,E94,E152,E189,E210,E239)</f>
        <v>413</v>
      </c>
      <c r="M23" s="82">
        <f t="shared" si="16"/>
        <v>1981.1</v>
      </c>
    </row>
    <row r="24" spans="1:18" ht="26.25" customHeight="1">
      <c r="A24" s="43"/>
      <c r="B24" s="13" t="s">
        <v>252</v>
      </c>
      <c r="C24" s="12"/>
      <c r="D24" s="14"/>
      <c r="E24" s="14">
        <v>318.60000000000002</v>
      </c>
      <c r="F24" s="14"/>
      <c r="G24" s="11">
        <f t="shared" si="4"/>
        <v>-318.60000000000002</v>
      </c>
      <c r="H24" s="11">
        <f t="shared" si="5"/>
        <v>0</v>
      </c>
      <c r="J24" s="80">
        <v>1031</v>
      </c>
      <c r="K24" s="1"/>
    </row>
    <row r="25" spans="1:18" ht="26.25" customHeight="1">
      <c r="A25" s="43"/>
      <c r="B25" s="13" t="s">
        <v>255</v>
      </c>
      <c r="C25" s="12"/>
      <c r="D25" s="14">
        <v>202.4</v>
      </c>
      <c r="E25" s="14">
        <v>1807.5</v>
      </c>
      <c r="F25" s="14">
        <f>377.9+110.5</f>
        <v>488.4</v>
      </c>
      <c r="G25" s="11">
        <f t="shared" si="4"/>
        <v>-1319.1</v>
      </c>
      <c r="H25" s="11">
        <f t="shared" si="5"/>
        <v>27.020746887966801</v>
      </c>
      <c r="J25" s="80">
        <v>1032</v>
      </c>
      <c r="K25" s="30">
        <f>SUM(D48,)</f>
        <v>796.9</v>
      </c>
      <c r="L25" s="82">
        <f t="shared" ref="L25:M25" si="17">SUM(E48,)</f>
        <v>0</v>
      </c>
      <c r="M25" s="30">
        <f t="shared" si="17"/>
        <v>1013.4</v>
      </c>
      <c r="N25" s="16"/>
      <c r="O25" s="145"/>
    </row>
    <row r="26" spans="1:18" ht="26.25" customHeight="1">
      <c r="A26" s="43"/>
      <c r="B26" s="13" t="s">
        <v>148</v>
      </c>
      <c r="C26" s="12" t="s">
        <v>204</v>
      </c>
      <c r="D26" s="14">
        <v>23.5</v>
      </c>
      <c r="E26" s="14">
        <v>360</v>
      </c>
      <c r="F26" s="14">
        <f>239.1</f>
        <v>239.1</v>
      </c>
      <c r="G26" s="11">
        <f t="shared" si="4"/>
        <v>-120.9</v>
      </c>
      <c r="H26" s="11">
        <f t="shared" si="5"/>
        <v>66.416666666666671</v>
      </c>
      <c r="J26" s="80">
        <v>1033</v>
      </c>
      <c r="K26" s="30">
        <f>SUM(D49,)</f>
        <v>295.89999999999998</v>
      </c>
      <c r="L26" s="30">
        <f t="shared" ref="L26:M26" si="18">SUM(E49,)</f>
        <v>0</v>
      </c>
      <c r="M26" s="30">
        <f t="shared" si="18"/>
        <v>405.1</v>
      </c>
      <c r="N26" s="30"/>
      <c r="O26" s="29"/>
    </row>
    <row r="27" spans="1:18" ht="26.25" customHeight="1">
      <c r="A27" s="43"/>
      <c r="B27" s="13" t="s">
        <v>149</v>
      </c>
      <c r="C27" s="12"/>
      <c r="D27" s="14">
        <v>96.4</v>
      </c>
      <c r="E27" s="14">
        <v>150</v>
      </c>
      <c r="F27" s="14">
        <f>91.6+103.9</f>
        <v>195.5</v>
      </c>
      <c r="G27" s="11">
        <f t="shared" si="4"/>
        <v>45.5</v>
      </c>
      <c r="H27" s="11">
        <f t="shared" si="5"/>
        <v>130.33333333333331</v>
      </c>
      <c r="J27" s="80">
        <v>1034</v>
      </c>
      <c r="K27" s="30"/>
      <c r="L27" s="30"/>
      <c r="M27" s="30"/>
      <c r="N27" s="30"/>
      <c r="O27" s="29"/>
      <c r="P27" s="16"/>
    </row>
    <row r="28" spans="1:18" ht="26.25" customHeight="1">
      <c r="A28" s="43"/>
      <c r="B28" s="13" t="s">
        <v>162</v>
      </c>
      <c r="C28" s="12"/>
      <c r="D28" s="14">
        <v>128.5</v>
      </c>
      <c r="E28" s="14">
        <v>285</v>
      </c>
      <c r="F28" s="14">
        <f>118.6+176.6</f>
        <v>295.2</v>
      </c>
      <c r="G28" s="11">
        <f t="shared" si="4"/>
        <v>10.199999999999989</v>
      </c>
      <c r="H28" s="11">
        <f t="shared" si="5"/>
        <v>103.57894736842105</v>
      </c>
      <c r="J28" s="80">
        <v>1035</v>
      </c>
      <c r="K28" s="30">
        <f>SUM(D50,D95,D153,D190,D211,D240)</f>
        <v>220.5</v>
      </c>
      <c r="L28" s="30">
        <f t="shared" ref="L28:M28" si="19">SUM(E50,E95,E153,E190,E211,E240)</f>
        <v>413</v>
      </c>
      <c r="M28" s="30">
        <f t="shared" si="19"/>
        <v>562.6</v>
      </c>
      <c r="N28" s="30"/>
      <c r="O28" s="29"/>
    </row>
    <row r="29" spans="1:18" ht="26.25" customHeight="1">
      <c r="A29" s="43"/>
      <c r="B29" s="13" t="s">
        <v>165</v>
      </c>
      <c r="C29" s="12"/>
      <c r="D29" s="14">
        <v>80.5</v>
      </c>
      <c r="E29" s="14">
        <v>150</v>
      </c>
      <c r="F29" s="14">
        <f>293.2+187.9</f>
        <v>481.1</v>
      </c>
      <c r="G29" s="11">
        <f t="shared" si="4"/>
        <v>331.1</v>
      </c>
      <c r="H29" s="11">
        <f t="shared" si="5"/>
        <v>320.73333333333335</v>
      </c>
      <c r="K29" s="30"/>
      <c r="L29" s="30"/>
      <c r="M29" s="30"/>
      <c r="N29" s="30"/>
      <c r="O29" s="29"/>
      <c r="R29" s="16"/>
    </row>
    <row r="30" spans="1:18" ht="26.25" customHeight="1">
      <c r="A30" s="43"/>
      <c r="B30" s="13" t="s">
        <v>163</v>
      </c>
      <c r="C30" s="12"/>
      <c r="D30" s="14">
        <v>74.5</v>
      </c>
      <c r="E30" s="14">
        <v>90</v>
      </c>
      <c r="F30" s="14"/>
      <c r="G30" s="11">
        <f t="shared" si="4"/>
        <v>-90</v>
      </c>
      <c r="H30" s="11">
        <f t="shared" si="5"/>
        <v>0</v>
      </c>
      <c r="J30" s="80">
        <v>9000</v>
      </c>
      <c r="K30" s="16">
        <f>K10+K17</f>
        <v>23700.199999999997</v>
      </c>
      <c r="L30" s="30">
        <f t="shared" ref="L30:M30" si="20">L10+L17</f>
        <v>23408</v>
      </c>
      <c r="M30" s="30">
        <f t="shared" si="20"/>
        <v>25833.699999999997</v>
      </c>
      <c r="N30" s="30"/>
      <c r="O30" s="29"/>
    </row>
    <row r="31" spans="1:18" ht="26.25" customHeight="1">
      <c r="A31" s="43"/>
      <c r="B31" s="13" t="s">
        <v>164</v>
      </c>
      <c r="C31" s="12"/>
      <c r="D31" s="14">
        <v>19.3</v>
      </c>
      <c r="E31" s="14">
        <v>600</v>
      </c>
      <c r="F31" s="14">
        <f>1071</f>
        <v>1071</v>
      </c>
      <c r="G31" s="11">
        <f t="shared" si="4"/>
        <v>471</v>
      </c>
      <c r="H31" s="11">
        <f t="shared" si="5"/>
        <v>178.5</v>
      </c>
      <c r="I31" s="80"/>
      <c r="J31" s="80">
        <v>9010</v>
      </c>
      <c r="K31" s="16">
        <f>K11+K18+K25</f>
        <v>72288.899999999994</v>
      </c>
      <c r="L31" s="30">
        <f t="shared" ref="L31:M31" si="21">L11+L18+L25</f>
        <v>78002.400000000009</v>
      </c>
      <c r="M31" s="30">
        <f t="shared" si="21"/>
        <v>76436.7</v>
      </c>
      <c r="N31" s="30"/>
      <c r="O31" s="29"/>
    </row>
    <row r="32" spans="1:18" s="89" customFormat="1" ht="26.25" customHeight="1">
      <c r="A32" s="43"/>
      <c r="B32" s="13" t="s">
        <v>161</v>
      </c>
      <c r="C32" s="12"/>
      <c r="D32" s="146"/>
      <c r="E32" s="146">
        <v>1</v>
      </c>
      <c r="F32" s="146">
        <f>7.7+14.9</f>
        <v>22.6</v>
      </c>
      <c r="G32" s="11">
        <f t="shared" si="4"/>
        <v>21.6</v>
      </c>
      <c r="H32" s="11">
        <f t="shared" si="5"/>
        <v>2260</v>
      </c>
      <c r="I32" s="4"/>
      <c r="J32" s="80">
        <v>9020</v>
      </c>
      <c r="K32" s="138">
        <f>K12+K19+K26</f>
        <v>15274.7</v>
      </c>
      <c r="L32" s="88">
        <f t="shared" ref="L32:M32" si="22">L12+L19+L26</f>
        <v>17938.3</v>
      </c>
      <c r="M32" s="88">
        <f t="shared" si="22"/>
        <v>16215.099999999999</v>
      </c>
      <c r="N32" s="88"/>
      <c r="O32" s="94"/>
    </row>
    <row r="33" spans="1:15" ht="29.25" customHeight="1">
      <c r="A33" s="43"/>
      <c r="B33" s="168" t="s">
        <v>150</v>
      </c>
      <c r="C33" s="12"/>
      <c r="D33" s="14"/>
      <c r="E33" s="14">
        <v>75</v>
      </c>
      <c r="F33" s="14">
        <f>56+42</f>
        <v>98</v>
      </c>
      <c r="G33" s="11">
        <f t="shared" si="4"/>
        <v>23</v>
      </c>
      <c r="H33" s="11">
        <f t="shared" si="5"/>
        <v>130.66666666666666</v>
      </c>
      <c r="I33" s="4"/>
      <c r="J33" s="80">
        <v>9030</v>
      </c>
      <c r="K33" s="16">
        <f>K13+K20</f>
        <v>6456.2000000000007</v>
      </c>
      <c r="L33" s="30">
        <f t="shared" ref="L33:M33" si="23">L13+L20</f>
        <v>8250</v>
      </c>
      <c r="M33" s="30">
        <f t="shared" si="23"/>
        <v>8817.7000000000007</v>
      </c>
      <c r="N33" s="30"/>
      <c r="O33" s="29"/>
    </row>
    <row r="34" spans="1:15" ht="26.25" customHeight="1">
      <c r="A34" s="43"/>
      <c r="B34" s="13" t="s">
        <v>207</v>
      </c>
      <c r="C34" s="12"/>
      <c r="D34" s="14">
        <v>43.8</v>
      </c>
      <c r="E34" s="14">
        <v>25</v>
      </c>
      <c r="F34" s="14">
        <f>9.6+2.3</f>
        <v>11.899999999999999</v>
      </c>
      <c r="G34" s="11">
        <f t="shared" si="4"/>
        <v>-13.100000000000001</v>
      </c>
      <c r="H34" s="11">
        <f t="shared" si="5"/>
        <v>47.599999999999994</v>
      </c>
      <c r="I34" s="80"/>
      <c r="J34" s="80">
        <v>9040</v>
      </c>
      <c r="K34" s="16">
        <f>K14+K21+K28</f>
        <v>11445.6</v>
      </c>
      <c r="L34" s="30">
        <f t="shared" ref="L34:M34" si="24">L14+L21+L28</f>
        <v>17635.7</v>
      </c>
      <c r="M34" s="30">
        <f t="shared" si="24"/>
        <v>15491.7</v>
      </c>
      <c r="N34" s="30"/>
      <c r="O34" s="29"/>
    </row>
    <row r="35" spans="1:15" ht="26.25" customHeight="1">
      <c r="A35" s="32" t="s">
        <v>88</v>
      </c>
      <c r="B35" s="18" t="s">
        <v>92</v>
      </c>
      <c r="C35" s="156">
        <v>1020</v>
      </c>
      <c r="D35" s="10">
        <f>D38+D39+D40+D36</f>
        <v>5846.0999999999995</v>
      </c>
      <c r="E35" s="10">
        <f>E38+E39+E40</f>
        <v>8061.8</v>
      </c>
      <c r="F35" s="10">
        <f>F38+F39+F40+F36</f>
        <v>7159.8</v>
      </c>
      <c r="G35" s="15">
        <f t="shared" si="4"/>
        <v>-902</v>
      </c>
      <c r="H35" s="15">
        <f t="shared" si="5"/>
        <v>88.81143169019326</v>
      </c>
      <c r="I35" s="4"/>
      <c r="J35" s="80">
        <v>9050</v>
      </c>
      <c r="K35" s="21">
        <f>SUM(K30:K34)</f>
        <v>129165.59999999999</v>
      </c>
      <c r="L35" s="82">
        <f>SUM(L30:L34)</f>
        <v>145234.40000000002</v>
      </c>
      <c r="M35" s="21">
        <f>SUM(M30:M34)</f>
        <v>142794.9</v>
      </c>
      <c r="N35" s="30"/>
    </row>
    <row r="36" spans="1:15" s="77" customFormat="1" ht="26.25" customHeight="1">
      <c r="A36" s="62" t="s">
        <v>307</v>
      </c>
      <c r="B36" s="34" t="s">
        <v>106</v>
      </c>
      <c r="C36" s="60">
        <v>1021</v>
      </c>
      <c r="D36" s="36">
        <f>D37</f>
        <v>42.2</v>
      </c>
      <c r="E36" s="36">
        <f>E37</f>
        <v>0</v>
      </c>
      <c r="F36" s="36">
        <f>F37</f>
        <v>45.6</v>
      </c>
      <c r="G36" s="37">
        <f t="shared" si="4"/>
        <v>45.6</v>
      </c>
      <c r="H36" s="164" t="e">
        <f t="shared" si="5"/>
        <v>#DIV/0!</v>
      </c>
      <c r="J36" s="81"/>
      <c r="K36" s="147"/>
      <c r="M36" s="147"/>
      <c r="N36" s="148"/>
      <c r="O36" s="79"/>
    </row>
    <row r="37" spans="1:15" ht="26.25" customHeight="1">
      <c r="A37" s="64"/>
      <c r="B37" s="13" t="s">
        <v>173</v>
      </c>
      <c r="C37" s="8"/>
      <c r="D37" s="14">
        <v>42.2</v>
      </c>
      <c r="E37" s="14"/>
      <c r="F37" s="14">
        <v>45.6</v>
      </c>
      <c r="G37" s="11">
        <f t="shared" si="4"/>
        <v>45.6</v>
      </c>
      <c r="H37" s="50" t="e">
        <f t="shared" si="5"/>
        <v>#DIV/0!</v>
      </c>
      <c r="J37" s="140"/>
      <c r="K37" s="16"/>
      <c r="M37" s="16"/>
      <c r="N37" s="30"/>
    </row>
    <row r="38" spans="1:15" ht="31.5" customHeight="1">
      <c r="A38" s="33" t="s">
        <v>152</v>
      </c>
      <c r="B38" s="34" t="s">
        <v>2</v>
      </c>
      <c r="C38" s="41">
        <v>1022</v>
      </c>
      <c r="D38" s="36">
        <v>4556.3</v>
      </c>
      <c r="E38" s="36">
        <v>6498.6</v>
      </c>
      <c r="F38" s="36">
        <v>5843.1</v>
      </c>
      <c r="G38" s="37">
        <f t="shared" si="4"/>
        <v>-655.5</v>
      </c>
      <c r="H38" s="37">
        <f t="shared" si="5"/>
        <v>89.913212076447238</v>
      </c>
      <c r="I38" s="80"/>
      <c r="K38" s="21"/>
      <c r="L38" s="21"/>
      <c r="M38" s="21"/>
      <c r="N38" s="16"/>
      <c r="O38" s="45"/>
    </row>
    <row r="39" spans="1:15" ht="26.25" customHeight="1">
      <c r="A39" s="33" t="s">
        <v>153</v>
      </c>
      <c r="B39" s="34" t="s">
        <v>3</v>
      </c>
      <c r="C39" s="41">
        <v>1023</v>
      </c>
      <c r="D39" s="36">
        <v>974.7</v>
      </c>
      <c r="E39" s="36">
        <v>1494.2</v>
      </c>
      <c r="F39" s="36">
        <v>1250.4000000000001</v>
      </c>
      <c r="G39" s="37">
        <f t="shared" si="4"/>
        <v>-243.79999999999995</v>
      </c>
      <c r="H39" s="37">
        <f t="shared" si="5"/>
        <v>83.683576495783697</v>
      </c>
      <c r="K39" s="21"/>
      <c r="L39" s="21"/>
      <c r="M39" s="21"/>
      <c r="O39" s="45"/>
    </row>
    <row r="40" spans="1:15" ht="26.25" customHeight="1">
      <c r="A40" s="33" t="s">
        <v>154</v>
      </c>
      <c r="B40" s="34" t="s">
        <v>155</v>
      </c>
      <c r="C40" s="35">
        <v>1025</v>
      </c>
      <c r="D40" s="36">
        <f>SUM(D41:D46)</f>
        <v>272.89999999999998</v>
      </c>
      <c r="E40" s="36">
        <f>SUM(E41:E46)</f>
        <v>69</v>
      </c>
      <c r="F40" s="36">
        <f>SUM(F41:F46)</f>
        <v>20.7</v>
      </c>
      <c r="G40" s="37">
        <f t="shared" si="4"/>
        <v>-48.3</v>
      </c>
      <c r="H40" s="37">
        <f t="shared" si="5"/>
        <v>30</v>
      </c>
      <c r="I40" s="30"/>
      <c r="L40" s="26"/>
      <c r="M40" s="26"/>
      <c r="N40" s="142"/>
      <c r="O40" s="46"/>
    </row>
    <row r="41" spans="1:15" ht="26.25" customHeight="1">
      <c r="A41" s="47"/>
      <c r="B41" s="13" t="s">
        <v>156</v>
      </c>
      <c r="C41" s="39"/>
      <c r="D41" s="14">
        <v>47.6</v>
      </c>
      <c r="E41" s="14">
        <v>39</v>
      </c>
      <c r="F41" s="14"/>
      <c r="G41" s="11">
        <f t="shared" si="4"/>
        <v>-39</v>
      </c>
      <c r="H41" s="11">
        <f t="shared" si="5"/>
        <v>0</v>
      </c>
      <c r="N41" s="142"/>
      <c r="O41" s="46"/>
    </row>
    <row r="42" spans="1:15" ht="26.25" customHeight="1">
      <c r="A42" s="47"/>
      <c r="B42" s="13" t="s">
        <v>165</v>
      </c>
      <c r="C42" s="39"/>
      <c r="D42" s="14"/>
      <c r="E42" s="14"/>
      <c r="F42" s="14">
        <f>11.1</f>
        <v>11.1</v>
      </c>
      <c r="G42" s="11">
        <f t="shared" si="4"/>
        <v>11.1</v>
      </c>
      <c r="H42" s="50" t="e">
        <f t="shared" si="5"/>
        <v>#DIV/0!</v>
      </c>
      <c r="N42" s="142"/>
      <c r="O42" s="46"/>
    </row>
    <row r="43" spans="1:15" ht="26.25" customHeight="1">
      <c r="A43" s="47"/>
      <c r="B43" s="13" t="s">
        <v>308</v>
      </c>
      <c r="C43" s="39"/>
      <c r="D43" s="14">
        <v>23.1</v>
      </c>
      <c r="E43" s="14">
        <v>30</v>
      </c>
      <c r="F43" s="14"/>
      <c r="G43" s="11">
        <f t="shared" si="4"/>
        <v>-30</v>
      </c>
      <c r="H43" s="11">
        <f t="shared" si="5"/>
        <v>0</v>
      </c>
      <c r="N43" s="142"/>
      <c r="O43" s="46"/>
    </row>
    <row r="44" spans="1:15" ht="26.25" customHeight="1">
      <c r="A44" s="47"/>
      <c r="B44" s="13" t="s">
        <v>166</v>
      </c>
      <c r="C44" s="39"/>
      <c r="D44" s="14">
        <v>4.2</v>
      </c>
      <c r="E44" s="14"/>
      <c r="F44" s="14">
        <f>1.6</f>
        <v>1.6</v>
      </c>
      <c r="G44" s="11">
        <f t="shared" si="4"/>
        <v>1.6</v>
      </c>
      <c r="H44" s="50" t="e">
        <f t="shared" si="5"/>
        <v>#DIV/0!</v>
      </c>
      <c r="N44" s="142"/>
      <c r="O44" s="46"/>
    </row>
    <row r="45" spans="1:15" ht="26.25" customHeight="1">
      <c r="A45" s="47"/>
      <c r="B45" s="13" t="s">
        <v>185</v>
      </c>
      <c r="C45" s="39"/>
      <c r="D45" s="14"/>
      <c r="E45" s="14"/>
      <c r="F45" s="14">
        <v>8</v>
      </c>
      <c r="G45" s="11">
        <f t="shared" si="4"/>
        <v>8</v>
      </c>
      <c r="H45" s="50" t="e">
        <f t="shared" si="5"/>
        <v>#DIV/0!</v>
      </c>
      <c r="N45" s="142"/>
      <c r="O45" s="46"/>
    </row>
    <row r="46" spans="1:15" ht="27" customHeight="1">
      <c r="A46" s="47"/>
      <c r="B46" s="13" t="s">
        <v>309</v>
      </c>
      <c r="C46" s="39"/>
      <c r="D46" s="14">
        <v>198</v>
      </c>
      <c r="E46" s="14"/>
      <c r="F46" s="14"/>
      <c r="G46" s="11">
        <f t="shared" si="4"/>
        <v>0</v>
      </c>
      <c r="H46" s="50" t="e">
        <f t="shared" si="5"/>
        <v>#DIV/0!</v>
      </c>
      <c r="N46" s="143"/>
      <c r="O46" s="45"/>
    </row>
    <row r="47" spans="1:15" ht="25.5" customHeight="1">
      <c r="A47" s="32" t="s">
        <v>91</v>
      </c>
      <c r="B47" s="157" t="s">
        <v>93</v>
      </c>
      <c r="C47" s="156">
        <v>1030</v>
      </c>
      <c r="D47" s="10">
        <f>D48+D49+D50</f>
        <v>1095</v>
      </c>
      <c r="E47" s="10">
        <f>E48+E49+E50</f>
        <v>44</v>
      </c>
      <c r="F47" s="10">
        <f>F48+F49+F50</f>
        <v>1503.8</v>
      </c>
      <c r="G47" s="15">
        <f t="shared" si="4"/>
        <v>1459.8</v>
      </c>
      <c r="H47" s="15">
        <f t="shared" si="5"/>
        <v>3417.727272727273</v>
      </c>
      <c r="M47" s="40"/>
    </row>
    <row r="48" spans="1:15" ht="26.25" customHeight="1">
      <c r="A48" s="33" t="s">
        <v>157</v>
      </c>
      <c r="B48" s="34" t="s">
        <v>2</v>
      </c>
      <c r="C48" s="41">
        <v>1032</v>
      </c>
      <c r="D48" s="36">
        <v>796.9</v>
      </c>
      <c r="E48" s="36"/>
      <c r="F48" s="36">
        <v>1013.4</v>
      </c>
      <c r="G48" s="37">
        <f t="shared" si="4"/>
        <v>1013.4</v>
      </c>
      <c r="H48" s="164" t="e">
        <f t="shared" si="5"/>
        <v>#DIV/0!</v>
      </c>
    </row>
    <row r="49" spans="1:18" ht="23.25" customHeight="1">
      <c r="A49" s="33" t="s">
        <v>158</v>
      </c>
      <c r="B49" s="34" t="s">
        <v>3</v>
      </c>
      <c r="C49" s="41">
        <v>1033</v>
      </c>
      <c r="D49" s="36">
        <v>295.89999999999998</v>
      </c>
      <c r="E49" s="36"/>
      <c r="F49" s="36">
        <v>405.1</v>
      </c>
      <c r="G49" s="37">
        <f t="shared" si="4"/>
        <v>405.1</v>
      </c>
      <c r="H49" s="164" t="e">
        <f t="shared" si="5"/>
        <v>#DIV/0!</v>
      </c>
      <c r="L49" s="48"/>
      <c r="M49" s="48"/>
      <c r="R49" s="178"/>
    </row>
    <row r="50" spans="1:18" ht="26.25" customHeight="1">
      <c r="A50" s="33" t="s">
        <v>226</v>
      </c>
      <c r="B50" s="34" t="s">
        <v>93</v>
      </c>
      <c r="C50" s="41">
        <v>1035</v>
      </c>
      <c r="D50" s="36">
        <f>D51</f>
        <v>2.2000000000000002</v>
      </c>
      <c r="E50" s="36">
        <f>E51</f>
        <v>44</v>
      </c>
      <c r="F50" s="36">
        <f>F51</f>
        <v>85.3</v>
      </c>
      <c r="G50" s="37">
        <f t="shared" si="4"/>
        <v>41.3</v>
      </c>
      <c r="H50" s="37">
        <f t="shared" si="5"/>
        <v>193.86363636363635</v>
      </c>
      <c r="L50" s="48"/>
      <c r="M50" s="48"/>
    </row>
    <row r="51" spans="1:18" ht="28.5" customHeight="1">
      <c r="A51" s="33"/>
      <c r="B51" s="13" t="s">
        <v>225</v>
      </c>
      <c r="C51" s="41"/>
      <c r="D51" s="14">
        <v>2.2000000000000002</v>
      </c>
      <c r="E51" s="14">
        <v>44</v>
      </c>
      <c r="F51" s="14">
        <f>61.6+23.7</f>
        <v>85.3</v>
      </c>
      <c r="G51" s="37">
        <f t="shared" si="4"/>
        <v>41.3</v>
      </c>
      <c r="H51" s="37">
        <f t="shared" si="5"/>
        <v>193.86363636363635</v>
      </c>
      <c r="L51" s="48"/>
      <c r="M51" s="48"/>
    </row>
    <row r="52" spans="1:18" ht="27.75" customHeight="1">
      <c r="A52" s="47" t="s">
        <v>94</v>
      </c>
      <c r="B52" s="51" t="s">
        <v>218</v>
      </c>
      <c r="C52" s="49"/>
      <c r="D52" s="10">
        <f>D54+D84+D94</f>
        <v>954.29999999999984</v>
      </c>
      <c r="E52" s="10">
        <f>E54+E84+E94</f>
        <v>2097.2999999999997</v>
      </c>
      <c r="F52" s="10">
        <f>F54+F84+F94</f>
        <v>552.10000000000014</v>
      </c>
      <c r="G52" s="15">
        <f t="shared" si="4"/>
        <v>-1545.1999999999996</v>
      </c>
      <c r="H52" s="15">
        <f t="shared" si="5"/>
        <v>26.324321747008067</v>
      </c>
      <c r="I52" s="30"/>
      <c r="K52" s="21"/>
      <c r="L52" s="16"/>
    </row>
    <row r="53" spans="1:18" ht="30.75" customHeight="1">
      <c r="A53" s="33"/>
      <c r="B53" s="58" t="s">
        <v>86</v>
      </c>
      <c r="C53" s="41"/>
      <c r="D53" s="36"/>
      <c r="E53" s="36"/>
      <c r="F53" s="36"/>
      <c r="G53" s="37"/>
      <c r="H53" s="37"/>
      <c r="K53" s="21"/>
    </row>
    <row r="54" spans="1:18" ht="27.75" customHeight="1">
      <c r="A54" s="47" t="s">
        <v>336</v>
      </c>
      <c r="B54" s="51" t="s">
        <v>90</v>
      </c>
      <c r="C54" s="49">
        <v>1010</v>
      </c>
      <c r="D54" s="10">
        <f>D55+D61+D62+D63+D64</f>
        <v>715.59999999999991</v>
      </c>
      <c r="E54" s="10">
        <f>E55+E61+E62+E64</f>
        <v>1148</v>
      </c>
      <c r="F54" s="10">
        <f>F55+F61+F62+F64+F63</f>
        <v>408.40000000000009</v>
      </c>
      <c r="G54" s="15">
        <f t="shared" si="4"/>
        <v>-739.59999999999991</v>
      </c>
      <c r="H54" s="15">
        <f t="shared" si="5"/>
        <v>35.574912891986074</v>
      </c>
    </row>
    <row r="55" spans="1:18" ht="27.75" customHeight="1">
      <c r="A55" s="33" t="s">
        <v>337</v>
      </c>
      <c r="B55" s="34" t="s">
        <v>106</v>
      </c>
      <c r="C55" s="41">
        <v>1011</v>
      </c>
      <c r="D55" s="36">
        <f>SUM(D56:D60)</f>
        <v>46.1</v>
      </c>
      <c r="E55" s="36">
        <f>SUM(E56:E60)</f>
        <v>138</v>
      </c>
      <c r="F55" s="36">
        <f>SUM(F56:F60)</f>
        <v>61.900000000000034</v>
      </c>
      <c r="G55" s="37">
        <f t="shared" si="4"/>
        <v>-76.099999999999966</v>
      </c>
      <c r="H55" s="37">
        <f t="shared" si="5"/>
        <v>44.855072463768138</v>
      </c>
    </row>
    <row r="56" spans="1:18" ht="25.5" customHeight="1">
      <c r="A56" s="33"/>
      <c r="B56" s="13" t="s">
        <v>137</v>
      </c>
      <c r="C56" s="12"/>
      <c r="D56" s="14">
        <v>8.5</v>
      </c>
      <c r="E56" s="14">
        <v>18</v>
      </c>
      <c r="F56" s="14">
        <f>0.4+5.9</f>
        <v>6.3000000000000007</v>
      </c>
      <c r="G56" s="11">
        <f t="shared" si="4"/>
        <v>-11.7</v>
      </c>
      <c r="H56" s="37">
        <f t="shared" si="5"/>
        <v>35</v>
      </c>
      <c r="I56" s="16"/>
    </row>
    <row r="57" spans="1:18" ht="26.25" customHeight="1">
      <c r="A57" s="33"/>
      <c r="B57" s="13" t="s">
        <v>138</v>
      </c>
      <c r="C57" s="12"/>
      <c r="D57" s="14"/>
      <c r="E57" s="14">
        <v>15</v>
      </c>
      <c r="F57" s="14">
        <v>2.6</v>
      </c>
      <c r="G57" s="11">
        <f t="shared" si="4"/>
        <v>-12.4</v>
      </c>
      <c r="H57" s="37">
        <f t="shared" si="5"/>
        <v>17.333333333333336</v>
      </c>
    </row>
    <row r="58" spans="1:18" ht="27.75" customHeight="1">
      <c r="A58" s="33"/>
      <c r="B58" s="13" t="s">
        <v>220</v>
      </c>
      <c r="C58" s="12"/>
      <c r="D58" s="14">
        <v>1.8</v>
      </c>
      <c r="E58" s="14">
        <v>9</v>
      </c>
      <c r="F58" s="14">
        <v>2.1</v>
      </c>
      <c r="G58" s="11">
        <f t="shared" si="4"/>
        <v>-6.9</v>
      </c>
      <c r="H58" s="37">
        <f t="shared" si="5"/>
        <v>23.333333333333332</v>
      </c>
    </row>
    <row r="59" spans="1:18" ht="39" customHeight="1">
      <c r="A59" s="33"/>
      <c r="B59" s="13" t="s">
        <v>159</v>
      </c>
      <c r="C59" s="12"/>
      <c r="D59" s="14">
        <v>9.1999999999999993</v>
      </c>
      <c r="E59" s="14">
        <v>45</v>
      </c>
      <c r="F59" s="14">
        <f>324.6-320</f>
        <v>4.6000000000000227</v>
      </c>
      <c r="G59" s="11">
        <f t="shared" si="4"/>
        <v>-40.399999999999977</v>
      </c>
      <c r="H59" s="37">
        <f t="shared" si="5"/>
        <v>10.222222222222273</v>
      </c>
    </row>
    <row r="60" spans="1:18" ht="25.5" customHeight="1">
      <c r="A60" s="33"/>
      <c r="B60" s="296" t="s">
        <v>160</v>
      </c>
      <c r="C60" s="12"/>
      <c r="D60" s="14">
        <v>26.6</v>
      </c>
      <c r="E60" s="14">
        <v>51</v>
      </c>
      <c r="F60" s="14">
        <f>175.3-119.3-9.7</f>
        <v>46.300000000000011</v>
      </c>
      <c r="G60" s="11">
        <f t="shared" si="4"/>
        <v>-4.6999999999999886</v>
      </c>
      <c r="H60" s="37">
        <f t="shared" si="5"/>
        <v>90.784313725490222</v>
      </c>
    </row>
    <row r="61" spans="1:18" ht="25.5" customHeight="1">
      <c r="A61" s="33" t="s">
        <v>338</v>
      </c>
      <c r="B61" s="52" t="s">
        <v>2</v>
      </c>
      <c r="C61" s="41">
        <v>1012</v>
      </c>
      <c r="D61" s="36">
        <v>173.9</v>
      </c>
      <c r="E61" s="36">
        <v>157.5</v>
      </c>
      <c r="F61" s="36">
        <v>76</v>
      </c>
      <c r="G61" s="37">
        <f t="shared" si="4"/>
        <v>-81.5</v>
      </c>
      <c r="H61" s="37">
        <f t="shared" si="5"/>
        <v>48.253968253968253</v>
      </c>
      <c r="K61" s="76"/>
    </row>
    <row r="62" spans="1:18" ht="25.5" customHeight="1">
      <c r="A62" s="33" t="s">
        <v>339</v>
      </c>
      <c r="B62" s="52" t="s">
        <v>3</v>
      </c>
      <c r="C62" s="41">
        <v>1013</v>
      </c>
      <c r="D62" s="36">
        <v>36.4</v>
      </c>
      <c r="E62" s="36">
        <v>34.799999999999997</v>
      </c>
      <c r="F62" s="36">
        <v>15.8</v>
      </c>
      <c r="G62" s="37">
        <f t="shared" si="4"/>
        <v>-18.999999999999996</v>
      </c>
      <c r="H62" s="37">
        <f t="shared" si="5"/>
        <v>45.402298850574716</v>
      </c>
    </row>
    <row r="63" spans="1:18" ht="25.5" customHeight="1">
      <c r="A63" s="33" t="s">
        <v>340</v>
      </c>
      <c r="B63" s="52" t="s">
        <v>4</v>
      </c>
      <c r="C63" s="41">
        <v>1014</v>
      </c>
      <c r="D63" s="36">
        <v>98</v>
      </c>
      <c r="E63" s="36"/>
      <c r="F63" s="36">
        <v>190.8</v>
      </c>
      <c r="G63" s="37">
        <f t="shared" si="4"/>
        <v>190.8</v>
      </c>
      <c r="H63" s="164" t="e">
        <f t="shared" si="5"/>
        <v>#DIV/0!</v>
      </c>
      <c r="I63" s="16"/>
    </row>
    <row r="64" spans="1:18" ht="25.5" customHeight="1">
      <c r="A64" s="33" t="s">
        <v>341</v>
      </c>
      <c r="B64" s="53" t="s">
        <v>97</v>
      </c>
      <c r="C64" s="41">
        <v>1015</v>
      </c>
      <c r="D64" s="36">
        <f>SUM(D65:D83)</f>
        <v>361.2</v>
      </c>
      <c r="E64" s="36">
        <f>SUM(E65:E83)</f>
        <v>817.7</v>
      </c>
      <c r="F64" s="36">
        <f>SUM(F65:F83)</f>
        <v>63.9</v>
      </c>
      <c r="G64" s="37">
        <f t="shared" si="4"/>
        <v>-753.80000000000007</v>
      </c>
      <c r="H64" s="37">
        <f t="shared" si="5"/>
        <v>7.8146019322489906</v>
      </c>
      <c r="I64" s="16"/>
    </row>
    <row r="65" spans="1:8" ht="25.5" customHeight="1">
      <c r="A65" s="47"/>
      <c r="B65" s="17" t="s">
        <v>148</v>
      </c>
      <c r="C65" s="12"/>
      <c r="D65" s="14">
        <v>36.4</v>
      </c>
      <c r="E65" s="14">
        <v>30</v>
      </c>
      <c r="F65" s="14">
        <f>6.4</f>
        <v>6.4</v>
      </c>
      <c r="G65" s="11">
        <f t="shared" si="4"/>
        <v>-23.6</v>
      </c>
      <c r="H65" s="37">
        <f t="shared" si="5"/>
        <v>21.333333333333336</v>
      </c>
    </row>
    <row r="66" spans="1:8" ht="25.5" customHeight="1">
      <c r="A66" s="47"/>
      <c r="B66" s="17" t="s">
        <v>221</v>
      </c>
      <c r="C66" s="12"/>
      <c r="D66" s="14">
        <v>28.8</v>
      </c>
      <c r="E66" s="14">
        <v>32</v>
      </c>
      <c r="F66" s="14">
        <f>10.8</f>
        <v>10.8</v>
      </c>
      <c r="G66" s="11">
        <f t="shared" si="4"/>
        <v>-21.2</v>
      </c>
      <c r="H66" s="37">
        <f t="shared" si="5"/>
        <v>33.75</v>
      </c>
    </row>
    <row r="67" spans="1:8" ht="25.5" customHeight="1">
      <c r="A67" s="47"/>
      <c r="B67" s="17" t="s">
        <v>161</v>
      </c>
      <c r="C67" s="12"/>
      <c r="D67" s="14"/>
      <c r="E67" s="14">
        <v>2.1</v>
      </c>
      <c r="F67" s="14"/>
      <c r="G67" s="11">
        <f t="shared" si="4"/>
        <v>-2.1</v>
      </c>
      <c r="H67" s="37">
        <f t="shared" si="5"/>
        <v>0</v>
      </c>
    </row>
    <row r="68" spans="1:8" ht="25.5" customHeight="1">
      <c r="A68" s="47"/>
      <c r="B68" s="17" t="s">
        <v>162</v>
      </c>
      <c r="C68" s="12"/>
      <c r="D68" s="14">
        <v>90</v>
      </c>
      <c r="E68" s="14">
        <v>45</v>
      </c>
      <c r="F68" s="14"/>
      <c r="G68" s="11">
        <f t="shared" si="4"/>
        <v>-45</v>
      </c>
      <c r="H68" s="37">
        <f t="shared" si="5"/>
        <v>0</v>
      </c>
    </row>
    <row r="69" spans="1:8" ht="25.5" customHeight="1">
      <c r="A69" s="47"/>
      <c r="B69" s="17" t="s">
        <v>150</v>
      </c>
      <c r="C69" s="12"/>
      <c r="D69" s="14">
        <v>56.2</v>
      </c>
      <c r="E69" s="14">
        <v>45</v>
      </c>
      <c r="F69" s="14"/>
      <c r="G69" s="11">
        <f t="shared" si="4"/>
        <v>-45</v>
      </c>
      <c r="H69" s="37">
        <f t="shared" si="5"/>
        <v>0</v>
      </c>
    </row>
    <row r="70" spans="1:8" ht="25.5" customHeight="1">
      <c r="A70" s="47"/>
      <c r="B70" s="17" t="s">
        <v>163</v>
      </c>
      <c r="C70" s="12"/>
      <c r="D70" s="14">
        <v>2.7</v>
      </c>
      <c r="E70" s="14">
        <v>30</v>
      </c>
      <c r="F70" s="14"/>
      <c r="G70" s="11">
        <f t="shared" si="4"/>
        <v>-30</v>
      </c>
      <c r="H70" s="37">
        <f t="shared" si="5"/>
        <v>0</v>
      </c>
    </row>
    <row r="71" spans="1:8" ht="25.5" customHeight="1">
      <c r="A71" s="47"/>
      <c r="B71" s="17" t="s">
        <v>206</v>
      </c>
      <c r="C71" s="12"/>
      <c r="D71" s="14">
        <v>5.7</v>
      </c>
      <c r="E71" s="14">
        <v>37.5</v>
      </c>
      <c r="F71" s="14"/>
      <c r="G71" s="11">
        <f t="shared" si="4"/>
        <v>-37.5</v>
      </c>
      <c r="H71" s="37">
        <f t="shared" si="5"/>
        <v>0</v>
      </c>
    </row>
    <row r="72" spans="1:8" ht="25.5" customHeight="1">
      <c r="A72" s="47"/>
      <c r="B72" s="185" t="s">
        <v>222</v>
      </c>
      <c r="C72" s="12"/>
      <c r="D72" s="14"/>
      <c r="E72" s="14">
        <v>60</v>
      </c>
      <c r="F72" s="14"/>
      <c r="G72" s="11">
        <f t="shared" si="4"/>
        <v>-60</v>
      </c>
      <c r="H72" s="37">
        <f t="shared" si="5"/>
        <v>0</v>
      </c>
    </row>
    <row r="73" spans="1:8" ht="44.25" customHeight="1">
      <c r="A73" s="47"/>
      <c r="B73" s="13" t="s">
        <v>279</v>
      </c>
      <c r="C73" s="12"/>
      <c r="D73" s="14"/>
      <c r="E73" s="14">
        <v>388.1</v>
      </c>
      <c r="F73" s="14"/>
      <c r="G73" s="11">
        <f t="shared" si="4"/>
        <v>-388.1</v>
      </c>
      <c r="H73" s="37">
        <f t="shared" si="5"/>
        <v>0</v>
      </c>
    </row>
    <row r="74" spans="1:8" ht="30.75" customHeight="1">
      <c r="A74" s="47"/>
      <c r="B74" s="13" t="s">
        <v>311</v>
      </c>
      <c r="C74" s="12"/>
      <c r="D74" s="14">
        <v>5.4</v>
      </c>
      <c r="E74" s="14">
        <v>12</v>
      </c>
      <c r="F74" s="14"/>
      <c r="G74" s="11">
        <f t="shared" si="4"/>
        <v>-12</v>
      </c>
      <c r="H74" s="37">
        <f t="shared" si="5"/>
        <v>0</v>
      </c>
    </row>
    <row r="75" spans="1:8" ht="30.75" customHeight="1">
      <c r="A75" s="47"/>
      <c r="B75" s="13" t="s">
        <v>316</v>
      </c>
      <c r="C75" s="12"/>
      <c r="D75" s="14">
        <v>5.7</v>
      </c>
      <c r="E75" s="14">
        <v>20</v>
      </c>
      <c r="F75" s="14"/>
      <c r="G75" s="11">
        <f t="shared" ref="G75:G138" si="25">F75-E75</f>
        <v>-20</v>
      </c>
      <c r="H75" s="37">
        <f t="shared" ref="H75:H138" si="26">(F75/E75)*100</f>
        <v>0</v>
      </c>
    </row>
    <row r="76" spans="1:8" ht="27.75" customHeight="1">
      <c r="A76" s="47"/>
      <c r="B76" s="13" t="s">
        <v>208</v>
      </c>
      <c r="C76" s="12"/>
      <c r="D76" s="14">
        <v>2.9</v>
      </c>
      <c r="E76" s="14">
        <v>6</v>
      </c>
      <c r="F76" s="14">
        <f>4+5.4</f>
        <v>9.4</v>
      </c>
      <c r="G76" s="11">
        <f t="shared" si="25"/>
        <v>3.4000000000000004</v>
      </c>
      <c r="H76" s="37">
        <f t="shared" si="26"/>
        <v>156.66666666666666</v>
      </c>
    </row>
    <row r="77" spans="1:8" ht="27.75" customHeight="1">
      <c r="A77" s="47"/>
      <c r="B77" s="185" t="s">
        <v>167</v>
      </c>
      <c r="C77" s="12"/>
      <c r="D77" s="14">
        <v>57</v>
      </c>
      <c r="E77" s="14">
        <v>41</v>
      </c>
      <c r="F77" s="14">
        <v>1.4</v>
      </c>
      <c r="G77" s="11">
        <f t="shared" si="25"/>
        <v>-39.6</v>
      </c>
      <c r="H77" s="37">
        <f t="shared" si="26"/>
        <v>3.4146341463414629</v>
      </c>
    </row>
    <row r="78" spans="1:8" ht="27.75" customHeight="1">
      <c r="A78" s="47"/>
      <c r="B78" s="297" t="s">
        <v>168</v>
      </c>
      <c r="C78" s="12"/>
      <c r="D78" s="14">
        <v>5.6</v>
      </c>
      <c r="E78" s="14">
        <v>6</v>
      </c>
      <c r="F78" s="14">
        <f>1.5</f>
        <v>1.5</v>
      </c>
      <c r="G78" s="11">
        <f t="shared" si="25"/>
        <v>-4.5</v>
      </c>
      <c r="H78" s="37">
        <f t="shared" si="26"/>
        <v>25</v>
      </c>
    </row>
    <row r="79" spans="1:8" ht="27.75" customHeight="1">
      <c r="A79" s="47"/>
      <c r="B79" s="298" t="s">
        <v>169</v>
      </c>
      <c r="C79" s="12"/>
      <c r="D79" s="14">
        <v>30.8</v>
      </c>
      <c r="E79" s="14">
        <v>33</v>
      </c>
      <c r="F79" s="14">
        <f>6.5</f>
        <v>6.5</v>
      </c>
      <c r="G79" s="11">
        <f t="shared" si="25"/>
        <v>-26.5</v>
      </c>
      <c r="H79" s="37">
        <f t="shared" si="26"/>
        <v>19.696969696969695</v>
      </c>
    </row>
    <row r="80" spans="1:8" ht="27.75" customHeight="1">
      <c r="A80" s="47"/>
      <c r="B80" s="297" t="s">
        <v>310</v>
      </c>
      <c r="C80" s="12"/>
      <c r="D80" s="14">
        <v>0.4</v>
      </c>
      <c r="E80" s="14">
        <v>1</v>
      </c>
      <c r="F80" s="14">
        <f>0.4</f>
        <v>0.4</v>
      </c>
      <c r="G80" s="11">
        <f t="shared" si="25"/>
        <v>-0.6</v>
      </c>
      <c r="H80" s="37">
        <f t="shared" si="26"/>
        <v>40</v>
      </c>
    </row>
    <row r="81" spans="1:11" ht="27.75" customHeight="1">
      <c r="A81" s="47"/>
      <c r="B81" s="297" t="s">
        <v>207</v>
      </c>
      <c r="C81" s="12"/>
      <c r="D81" s="14">
        <v>12.7</v>
      </c>
      <c r="E81" s="14">
        <v>5</v>
      </c>
      <c r="F81" s="14"/>
      <c r="G81" s="11">
        <f t="shared" si="25"/>
        <v>-5</v>
      </c>
      <c r="H81" s="37">
        <f t="shared" si="26"/>
        <v>0</v>
      </c>
    </row>
    <row r="82" spans="1:11" ht="27.75" customHeight="1">
      <c r="A82" s="47"/>
      <c r="B82" s="297" t="s">
        <v>258</v>
      </c>
      <c r="C82" s="41"/>
      <c r="D82" s="14">
        <v>5.6</v>
      </c>
      <c r="E82" s="14"/>
      <c r="F82" s="146"/>
      <c r="G82" s="11">
        <f t="shared" si="25"/>
        <v>0</v>
      </c>
      <c r="H82" s="164" t="e">
        <f t="shared" si="26"/>
        <v>#DIV/0!</v>
      </c>
    </row>
    <row r="83" spans="1:11" ht="27.75" customHeight="1">
      <c r="A83" s="47"/>
      <c r="B83" s="298" t="s">
        <v>280</v>
      </c>
      <c r="C83" s="41"/>
      <c r="D83" s="14">
        <v>15.3</v>
      </c>
      <c r="E83" s="14">
        <v>24</v>
      </c>
      <c r="F83" s="14">
        <f>18.3+9.2</f>
        <v>27.5</v>
      </c>
      <c r="G83" s="11">
        <f t="shared" si="25"/>
        <v>3.5</v>
      </c>
      <c r="H83" s="37">
        <f t="shared" si="26"/>
        <v>114.58333333333333</v>
      </c>
    </row>
    <row r="84" spans="1:11" ht="27.75" customHeight="1">
      <c r="A84" s="47" t="s">
        <v>342</v>
      </c>
      <c r="B84" s="54" t="s">
        <v>92</v>
      </c>
      <c r="C84" s="55">
        <v>1020</v>
      </c>
      <c r="D84" s="36">
        <f>D85</f>
        <v>191.69999999999996</v>
      </c>
      <c r="E84" s="36">
        <f>E85</f>
        <v>664.6</v>
      </c>
      <c r="F84" s="36">
        <f>F85</f>
        <v>7.6</v>
      </c>
      <c r="G84" s="37">
        <f t="shared" si="25"/>
        <v>-657</v>
      </c>
      <c r="H84" s="37">
        <f t="shared" si="26"/>
        <v>1.1435449894673486</v>
      </c>
    </row>
    <row r="85" spans="1:11" ht="27.75" customHeight="1">
      <c r="A85" s="33" t="s">
        <v>343</v>
      </c>
      <c r="B85" s="53" t="s">
        <v>172</v>
      </c>
      <c r="C85" s="35">
        <v>1025</v>
      </c>
      <c r="D85" s="36">
        <f>SUM(D86:D93)</f>
        <v>191.69999999999996</v>
      </c>
      <c r="E85" s="36">
        <f>SUM(E86:E93)</f>
        <v>664.6</v>
      </c>
      <c r="F85" s="36">
        <f>SUM(F86:F93)</f>
        <v>7.6</v>
      </c>
      <c r="G85" s="37">
        <f t="shared" si="25"/>
        <v>-657</v>
      </c>
      <c r="H85" s="37">
        <f t="shared" si="26"/>
        <v>1.1435449894673486</v>
      </c>
    </row>
    <row r="86" spans="1:11" ht="27.75" customHeight="1">
      <c r="A86" s="47"/>
      <c r="B86" s="299" t="s">
        <v>151</v>
      </c>
      <c r="C86" s="39"/>
      <c r="D86" s="14">
        <v>78</v>
      </c>
      <c r="E86" s="14">
        <v>150</v>
      </c>
      <c r="F86" s="14"/>
      <c r="G86" s="11">
        <f t="shared" si="25"/>
        <v>-150</v>
      </c>
      <c r="H86" s="11">
        <f t="shared" si="26"/>
        <v>0</v>
      </c>
    </row>
    <row r="87" spans="1:11" ht="27.75" customHeight="1">
      <c r="A87" s="47"/>
      <c r="B87" s="17" t="s">
        <v>163</v>
      </c>
      <c r="C87" s="39"/>
      <c r="D87" s="14">
        <v>41.6</v>
      </c>
      <c r="E87" s="14">
        <v>60</v>
      </c>
      <c r="F87" s="14"/>
      <c r="G87" s="11">
        <f t="shared" si="25"/>
        <v>-60</v>
      </c>
      <c r="H87" s="11">
        <f t="shared" si="26"/>
        <v>0</v>
      </c>
    </row>
    <row r="88" spans="1:11" ht="27.75" customHeight="1">
      <c r="A88" s="47"/>
      <c r="B88" s="17" t="s">
        <v>156</v>
      </c>
      <c r="C88" s="39"/>
      <c r="D88" s="14"/>
      <c r="E88" s="14">
        <v>39</v>
      </c>
      <c r="F88" s="14"/>
      <c r="G88" s="11">
        <f t="shared" si="25"/>
        <v>-39</v>
      </c>
      <c r="H88" s="11">
        <f t="shared" si="26"/>
        <v>0</v>
      </c>
    </row>
    <row r="89" spans="1:11" ht="27.75" customHeight="1">
      <c r="A89" s="47"/>
      <c r="B89" s="13" t="s">
        <v>165</v>
      </c>
      <c r="C89" s="39"/>
      <c r="D89" s="14">
        <v>25.5</v>
      </c>
      <c r="E89" s="14">
        <v>300</v>
      </c>
      <c r="F89" s="14"/>
      <c r="G89" s="11">
        <f t="shared" si="25"/>
        <v>-300</v>
      </c>
      <c r="H89" s="11">
        <f t="shared" si="26"/>
        <v>0</v>
      </c>
    </row>
    <row r="90" spans="1:11" ht="27.75" customHeight="1">
      <c r="A90" s="47"/>
      <c r="B90" s="13" t="s">
        <v>240</v>
      </c>
      <c r="C90" s="39"/>
      <c r="D90" s="14"/>
      <c r="E90" s="14">
        <v>108</v>
      </c>
      <c r="F90" s="14"/>
      <c r="G90" s="11">
        <f t="shared" si="25"/>
        <v>-108</v>
      </c>
      <c r="H90" s="11">
        <f t="shared" si="26"/>
        <v>0</v>
      </c>
    </row>
    <row r="91" spans="1:11" ht="27.75" customHeight="1">
      <c r="A91" s="47"/>
      <c r="B91" s="17" t="s">
        <v>256</v>
      </c>
      <c r="C91" s="39"/>
      <c r="D91" s="14">
        <v>39.799999999999997</v>
      </c>
      <c r="E91" s="14"/>
      <c r="F91" s="14">
        <v>3.8</v>
      </c>
      <c r="G91" s="11">
        <f t="shared" si="25"/>
        <v>3.8</v>
      </c>
      <c r="H91" s="50" t="e">
        <f t="shared" si="26"/>
        <v>#DIV/0!</v>
      </c>
    </row>
    <row r="92" spans="1:11" ht="27.75" customHeight="1">
      <c r="A92" s="47"/>
      <c r="B92" s="17" t="s">
        <v>245</v>
      </c>
      <c r="C92" s="39"/>
      <c r="D92" s="14">
        <v>3.6</v>
      </c>
      <c r="E92" s="14">
        <v>4</v>
      </c>
      <c r="F92" s="14"/>
      <c r="G92" s="11">
        <f t="shared" si="25"/>
        <v>-4</v>
      </c>
      <c r="H92" s="11">
        <f t="shared" si="26"/>
        <v>0</v>
      </c>
    </row>
    <row r="93" spans="1:11" ht="27.75" customHeight="1">
      <c r="A93" s="47"/>
      <c r="B93" s="17" t="s">
        <v>223</v>
      </c>
      <c r="C93" s="39"/>
      <c r="D93" s="14">
        <v>3.2</v>
      </c>
      <c r="E93" s="14">
        <v>3.6</v>
      </c>
      <c r="F93" s="14">
        <v>3.8</v>
      </c>
      <c r="G93" s="11">
        <f t="shared" si="25"/>
        <v>0.19999999999999973</v>
      </c>
      <c r="H93" s="11">
        <f t="shared" si="26"/>
        <v>105.55555555555556</v>
      </c>
    </row>
    <row r="94" spans="1:11" ht="27.75" customHeight="1">
      <c r="A94" s="47" t="s">
        <v>344</v>
      </c>
      <c r="B94" s="56" t="s">
        <v>93</v>
      </c>
      <c r="C94" s="55">
        <v>1030</v>
      </c>
      <c r="D94" s="36">
        <f>D95</f>
        <v>47</v>
      </c>
      <c r="E94" s="36">
        <f>E95</f>
        <v>284.7</v>
      </c>
      <c r="F94" s="36">
        <f>F95</f>
        <v>136.1</v>
      </c>
      <c r="G94" s="37">
        <f t="shared" si="25"/>
        <v>-148.6</v>
      </c>
      <c r="H94" s="37">
        <f t="shared" si="26"/>
        <v>47.804706708816298</v>
      </c>
    </row>
    <row r="95" spans="1:11" ht="27.75" customHeight="1">
      <c r="A95" s="33" t="s">
        <v>345</v>
      </c>
      <c r="B95" s="69" t="s">
        <v>93</v>
      </c>
      <c r="C95" s="41">
        <v>1035</v>
      </c>
      <c r="D95" s="36">
        <f>SUM(D96:D98)</f>
        <v>47</v>
      </c>
      <c r="E95" s="36">
        <f>SUM(E96:E98)</f>
        <v>284.7</v>
      </c>
      <c r="F95" s="36">
        <f>SUM(F96:F98)</f>
        <v>136.1</v>
      </c>
      <c r="G95" s="37">
        <f t="shared" si="25"/>
        <v>-148.6</v>
      </c>
      <c r="H95" s="37">
        <f t="shared" si="26"/>
        <v>47.804706708816298</v>
      </c>
    </row>
    <row r="96" spans="1:11" ht="27.75" customHeight="1">
      <c r="A96" s="43"/>
      <c r="B96" s="300" t="s">
        <v>239</v>
      </c>
      <c r="C96" s="12"/>
      <c r="D96" s="14">
        <v>1.1000000000000001</v>
      </c>
      <c r="E96" s="14">
        <v>149.69999999999999</v>
      </c>
      <c r="F96" s="14">
        <v>133.19999999999999</v>
      </c>
      <c r="G96" s="11">
        <f t="shared" si="25"/>
        <v>-16.5</v>
      </c>
      <c r="H96" s="11">
        <f t="shared" si="26"/>
        <v>88.977955911823642</v>
      </c>
      <c r="K96" s="1"/>
    </row>
    <row r="97" spans="1:8" ht="27.75" customHeight="1">
      <c r="A97" s="47"/>
      <c r="B97" s="301" t="s">
        <v>175</v>
      </c>
      <c r="C97" s="39"/>
      <c r="D97" s="36"/>
      <c r="E97" s="14">
        <v>105</v>
      </c>
      <c r="F97" s="14"/>
      <c r="G97" s="11">
        <f t="shared" si="25"/>
        <v>-105</v>
      </c>
      <c r="H97" s="37">
        <f t="shared" si="26"/>
        <v>0</v>
      </c>
    </row>
    <row r="98" spans="1:8" ht="27.75" customHeight="1">
      <c r="A98" s="47"/>
      <c r="B98" s="301" t="s">
        <v>225</v>
      </c>
      <c r="C98" s="39"/>
      <c r="D98" s="14">
        <v>45.9</v>
      </c>
      <c r="E98" s="14">
        <v>30</v>
      </c>
      <c r="F98" s="14">
        <v>2.9</v>
      </c>
      <c r="G98" s="11">
        <f t="shared" si="25"/>
        <v>-27.1</v>
      </c>
      <c r="H98" s="37">
        <f t="shared" si="26"/>
        <v>9.6666666666666661</v>
      </c>
    </row>
    <row r="99" spans="1:8" ht="27.75" customHeight="1">
      <c r="A99" s="47" t="s">
        <v>104</v>
      </c>
      <c r="B99" s="51" t="s">
        <v>306</v>
      </c>
      <c r="C99" s="39"/>
      <c r="D99" s="10">
        <f>D101+D116</f>
        <v>378.4</v>
      </c>
      <c r="E99" s="10">
        <f>E101+E116</f>
        <v>0</v>
      </c>
      <c r="F99" s="10">
        <f>F101+F116</f>
        <v>507.19999999999993</v>
      </c>
      <c r="G99" s="15">
        <f t="shared" si="25"/>
        <v>507.19999999999993</v>
      </c>
      <c r="H99" s="164" t="e">
        <f t="shared" si="26"/>
        <v>#DIV/0!</v>
      </c>
    </row>
    <row r="100" spans="1:8" ht="27.75" customHeight="1">
      <c r="A100" s="47"/>
      <c r="B100" s="162" t="s">
        <v>86</v>
      </c>
      <c r="C100" s="39"/>
      <c r="D100" s="36"/>
      <c r="E100" s="14"/>
      <c r="F100" s="14"/>
      <c r="G100" s="11"/>
      <c r="H100" s="164"/>
    </row>
    <row r="101" spans="1:8" ht="27.75" customHeight="1">
      <c r="A101" s="47" t="s">
        <v>219</v>
      </c>
      <c r="B101" s="51" t="s">
        <v>90</v>
      </c>
      <c r="C101" s="49">
        <v>1010</v>
      </c>
      <c r="D101" s="10">
        <f>D102+D105</f>
        <v>175</v>
      </c>
      <c r="E101" s="10">
        <f>E102+E105</f>
        <v>0</v>
      </c>
      <c r="F101" s="10">
        <f>F102+F105</f>
        <v>451.49999999999994</v>
      </c>
      <c r="G101" s="15">
        <f t="shared" si="25"/>
        <v>451.49999999999994</v>
      </c>
      <c r="H101" s="164" t="e">
        <f t="shared" si="26"/>
        <v>#DIV/0!</v>
      </c>
    </row>
    <row r="102" spans="1:8" ht="27.75" customHeight="1">
      <c r="A102" s="33" t="s">
        <v>259</v>
      </c>
      <c r="B102" s="34" t="s">
        <v>106</v>
      </c>
      <c r="C102" s="41">
        <v>1011</v>
      </c>
      <c r="D102" s="36">
        <f>SUM(D103:D104)</f>
        <v>115</v>
      </c>
      <c r="E102" s="36">
        <f>SUM(E103:E104)</f>
        <v>0</v>
      </c>
      <c r="F102" s="36">
        <f>SUM(F103:F104)</f>
        <v>283.39999999999998</v>
      </c>
      <c r="G102" s="37">
        <f t="shared" si="25"/>
        <v>283.39999999999998</v>
      </c>
      <c r="H102" s="164" t="e">
        <f t="shared" si="26"/>
        <v>#DIV/0!</v>
      </c>
    </row>
    <row r="103" spans="1:8" ht="39" customHeight="1">
      <c r="A103" s="33"/>
      <c r="B103" s="13" t="s">
        <v>159</v>
      </c>
      <c r="C103" s="41"/>
      <c r="D103" s="14">
        <v>115</v>
      </c>
      <c r="E103" s="14"/>
      <c r="F103" s="14">
        <f>2.9+320-52.6</f>
        <v>270.29999999999995</v>
      </c>
      <c r="G103" s="11">
        <f t="shared" si="25"/>
        <v>270.29999999999995</v>
      </c>
      <c r="H103" s="164" t="e">
        <f t="shared" si="26"/>
        <v>#DIV/0!</v>
      </c>
    </row>
    <row r="104" spans="1:8" ht="27.75" customHeight="1">
      <c r="A104" s="33"/>
      <c r="B104" s="296" t="s">
        <v>160</v>
      </c>
      <c r="C104" s="41"/>
      <c r="D104" s="36"/>
      <c r="E104" s="14"/>
      <c r="F104" s="14">
        <f>3.4+9.7</f>
        <v>13.1</v>
      </c>
      <c r="G104" s="11">
        <f t="shared" si="25"/>
        <v>13.1</v>
      </c>
      <c r="H104" s="164" t="e">
        <f t="shared" si="26"/>
        <v>#DIV/0!</v>
      </c>
    </row>
    <row r="105" spans="1:8" ht="27.75" customHeight="1">
      <c r="A105" s="33" t="s">
        <v>260</v>
      </c>
      <c r="B105" s="53" t="s">
        <v>97</v>
      </c>
      <c r="C105" s="41">
        <v>1015</v>
      </c>
      <c r="D105" s="36">
        <f>SUM(D106:D111)</f>
        <v>60</v>
      </c>
      <c r="E105" s="36">
        <f>SUM(E106:E111)</f>
        <v>0</v>
      </c>
      <c r="F105" s="36">
        <f>SUM(F106:F115)</f>
        <v>168.09999999999997</v>
      </c>
      <c r="G105" s="37">
        <f t="shared" si="25"/>
        <v>168.09999999999997</v>
      </c>
      <c r="H105" s="164" t="e">
        <f t="shared" si="26"/>
        <v>#DIV/0!</v>
      </c>
    </row>
    <row r="106" spans="1:8" ht="27.75" customHeight="1">
      <c r="A106" s="33"/>
      <c r="B106" s="17" t="s">
        <v>162</v>
      </c>
      <c r="C106" s="41"/>
      <c r="D106" s="14">
        <v>6.1</v>
      </c>
      <c r="E106" s="14"/>
      <c r="F106" s="14">
        <f>4.7</f>
        <v>4.7</v>
      </c>
      <c r="G106" s="11">
        <f t="shared" si="25"/>
        <v>4.7</v>
      </c>
      <c r="H106" s="164" t="e">
        <f t="shared" si="26"/>
        <v>#DIV/0!</v>
      </c>
    </row>
    <row r="107" spans="1:8" ht="27.75" customHeight="1">
      <c r="A107" s="33"/>
      <c r="B107" s="17" t="s">
        <v>150</v>
      </c>
      <c r="C107" s="41"/>
      <c r="D107" s="14">
        <v>53.9</v>
      </c>
      <c r="E107" s="14"/>
      <c r="F107" s="14">
        <f>16.2</f>
        <v>16.2</v>
      </c>
      <c r="G107" s="11">
        <f t="shared" si="25"/>
        <v>16.2</v>
      </c>
      <c r="H107" s="164" t="e">
        <f t="shared" si="26"/>
        <v>#DIV/0!</v>
      </c>
    </row>
    <row r="108" spans="1:8" ht="27.75" customHeight="1">
      <c r="A108" s="33"/>
      <c r="B108" s="17" t="s">
        <v>163</v>
      </c>
      <c r="C108" s="41"/>
      <c r="D108" s="36"/>
      <c r="E108" s="14"/>
      <c r="F108" s="14">
        <f>6.7</f>
        <v>6.7</v>
      </c>
      <c r="G108" s="11">
        <f t="shared" si="25"/>
        <v>6.7</v>
      </c>
      <c r="H108" s="164" t="e">
        <f t="shared" si="26"/>
        <v>#DIV/0!</v>
      </c>
    </row>
    <row r="109" spans="1:8" ht="27.75" customHeight="1">
      <c r="A109" s="33"/>
      <c r="B109" s="17" t="s">
        <v>206</v>
      </c>
      <c r="C109" s="41"/>
      <c r="D109" s="36"/>
      <c r="E109" s="14"/>
      <c r="F109" s="14">
        <f>13.7</f>
        <v>13.7</v>
      </c>
      <c r="G109" s="11">
        <f t="shared" si="25"/>
        <v>13.7</v>
      </c>
      <c r="H109" s="164" t="e">
        <f t="shared" si="26"/>
        <v>#DIV/0!</v>
      </c>
    </row>
    <row r="110" spans="1:8" ht="27.75" customHeight="1">
      <c r="A110" s="33"/>
      <c r="B110" s="185" t="s">
        <v>222</v>
      </c>
      <c r="C110" s="41"/>
      <c r="D110" s="36"/>
      <c r="E110" s="14"/>
      <c r="F110" s="14">
        <f>2.8</f>
        <v>2.8</v>
      </c>
      <c r="G110" s="11">
        <f t="shared" si="25"/>
        <v>2.8</v>
      </c>
      <c r="H110" s="164" t="e">
        <f t="shared" si="26"/>
        <v>#DIV/0!</v>
      </c>
    </row>
    <row r="111" spans="1:8" ht="42.75" customHeight="1">
      <c r="A111" s="33"/>
      <c r="B111" s="13" t="s">
        <v>279</v>
      </c>
      <c r="C111" s="41"/>
      <c r="D111" s="36"/>
      <c r="E111" s="14"/>
      <c r="F111" s="14">
        <f>9.3</f>
        <v>9.3000000000000007</v>
      </c>
      <c r="G111" s="11">
        <f t="shared" si="25"/>
        <v>9.3000000000000007</v>
      </c>
      <c r="H111" s="164" t="e">
        <f t="shared" si="26"/>
        <v>#DIV/0!</v>
      </c>
    </row>
    <row r="112" spans="1:8" ht="32.25" customHeight="1">
      <c r="A112" s="33"/>
      <c r="B112" s="185" t="s">
        <v>167</v>
      </c>
      <c r="C112" s="41"/>
      <c r="D112" s="36"/>
      <c r="E112" s="14"/>
      <c r="F112" s="14">
        <f>56.5</f>
        <v>56.5</v>
      </c>
      <c r="G112" s="11">
        <f t="shared" si="25"/>
        <v>56.5</v>
      </c>
      <c r="H112" s="164" t="e">
        <f t="shared" si="26"/>
        <v>#DIV/0!</v>
      </c>
    </row>
    <row r="113" spans="1:15" ht="32.25" customHeight="1">
      <c r="A113" s="33"/>
      <c r="B113" s="297" t="s">
        <v>168</v>
      </c>
      <c r="C113" s="41"/>
      <c r="D113" s="36"/>
      <c r="E113" s="14"/>
      <c r="F113" s="14">
        <f>3.1</f>
        <v>3.1</v>
      </c>
      <c r="G113" s="11">
        <f t="shared" si="25"/>
        <v>3.1</v>
      </c>
      <c r="H113" s="164" t="e">
        <f t="shared" si="26"/>
        <v>#DIV/0!</v>
      </c>
    </row>
    <row r="114" spans="1:15" ht="29.25" customHeight="1">
      <c r="A114" s="33"/>
      <c r="B114" s="298" t="s">
        <v>169</v>
      </c>
      <c r="C114" s="41"/>
      <c r="D114" s="36"/>
      <c r="E114" s="14"/>
      <c r="F114" s="14">
        <f>17.4</f>
        <v>17.399999999999999</v>
      </c>
      <c r="G114" s="11">
        <f t="shared" si="25"/>
        <v>17.399999999999999</v>
      </c>
      <c r="H114" s="164" t="e">
        <f t="shared" si="26"/>
        <v>#DIV/0!</v>
      </c>
    </row>
    <row r="115" spans="1:15" ht="30.75" customHeight="1">
      <c r="A115" s="33"/>
      <c r="B115" s="13" t="s">
        <v>258</v>
      </c>
      <c r="C115" s="41"/>
      <c r="D115" s="36"/>
      <c r="E115" s="14"/>
      <c r="F115" s="146">
        <f>37.7</f>
        <v>37.700000000000003</v>
      </c>
      <c r="G115" s="11">
        <f t="shared" si="25"/>
        <v>37.700000000000003</v>
      </c>
      <c r="H115" s="164" t="e">
        <f t="shared" si="26"/>
        <v>#DIV/0!</v>
      </c>
    </row>
    <row r="116" spans="1:15" ht="27.75" customHeight="1">
      <c r="A116" s="47" t="s">
        <v>261</v>
      </c>
      <c r="B116" s="54" t="s">
        <v>92</v>
      </c>
      <c r="C116" s="55">
        <v>1020</v>
      </c>
      <c r="D116" s="10">
        <f>D117</f>
        <v>203.4</v>
      </c>
      <c r="E116" s="10">
        <f>E117</f>
        <v>0</v>
      </c>
      <c r="F116" s="10">
        <f>F117</f>
        <v>55.699999999999996</v>
      </c>
      <c r="G116" s="15">
        <f t="shared" si="25"/>
        <v>55.699999999999996</v>
      </c>
      <c r="H116" s="164" t="e">
        <f t="shared" si="26"/>
        <v>#DIV/0!</v>
      </c>
    </row>
    <row r="117" spans="1:15" ht="27.75" customHeight="1">
      <c r="A117" s="33" t="s">
        <v>262</v>
      </c>
      <c r="B117" s="53" t="s">
        <v>172</v>
      </c>
      <c r="C117" s="35">
        <v>1025</v>
      </c>
      <c r="D117" s="36">
        <f>SUM(D118:D124)</f>
        <v>203.4</v>
      </c>
      <c r="E117" s="36">
        <f>SUM(E118:E124)</f>
        <v>0</v>
      </c>
      <c r="F117" s="36">
        <f>SUM(F118:F124)</f>
        <v>55.699999999999996</v>
      </c>
      <c r="G117" s="37">
        <f t="shared" si="25"/>
        <v>55.699999999999996</v>
      </c>
      <c r="H117" s="164" t="e">
        <f t="shared" si="26"/>
        <v>#DIV/0!</v>
      </c>
    </row>
    <row r="118" spans="1:15" ht="27.75" customHeight="1">
      <c r="A118" s="47"/>
      <c r="B118" s="299" t="s">
        <v>151</v>
      </c>
      <c r="C118" s="39"/>
      <c r="D118" s="14">
        <v>41.6</v>
      </c>
      <c r="E118" s="14"/>
      <c r="F118" s="14">
        <f>6.3</f>
        <v>6.3</v>
      </c>
      <c r="G118" s="11">
        <f t="shared" si="25"/>
        <v>6.3</v>
      </c>
      <c r="H118" s="164" t="e">
        <f t="shared" si="26"/>
        <v>#DIV/0!</v>
      </c>
    </row>
    <row r="119" spans="1:15" ht="27.75" customHeight="1">
      <c r="A119" s="47"/>
      <c r="B119" s="17" t="s">
        <v>163</v>
      </c>
      <c r="C119" s="39"/>
      <c r="D119" s="14"/>
      <c r="E119" s="14"/>
      <c r="F119" s="14">
        <f>0.6</f>
        <v>0.6</v>
      </c>
      <c r="G119" s="11">
        <f t="shared" si="25"/>
        <v>0.6</v>
      </c>
      <c r="H119" s="164" t="e">
        <f t="shared" si="26"/>
        <v>#DIV/0!</v>
      </c>
    </row>
    <row r="120" spans="1:15" ht="27.75" customHeight="1">
      <c r="A120" s="47"/>
      <c r="B120" s="13" t="s">
        <v>165</v>
      </c>
      <c r="C120" s="39"/>
      <c r="D120" s="14">
        <v>58</v>
      </c>
      <c r="E120" s="14"/>
      <c r="F120" s="14">
        <f>3.4</f>
        <v>3.4</v>
      </c>
      <c r="G120" s="11">
        <f t="shared" si="25"/>
        <v>3.4</v>
      </c>
      <c r="H120" s="164" t="e">
        <f t="shared" si="26"/>
        <v>#DIV/0!</v>
      </c>
    </row>
    <row r="121" spans="1:15" ht="27.75" customHeight="1">
      <c r="A121" s="47"/>
      <c r="B121" s="13" t="s">
        <v>156</v>
      </c>
      <c r="C121" s="39"/>
      <c r="D121" s="14">
        <v>29.4</v>
      </c>
      <c r="E121" s="14"/>
      <c r="F121" s="14"/>
      <c r="G121" s="11">
        <f t="shared" si="25"/>
        <v>0</v>
      </c>
      <c r="H121" s="164" t="e">
        <f t="shared" si="26"/>
        <v>#DIV/0!</v>
      </c>
    </row>
    <row r="122" spans="1:15" ht="27.75" customHeight="1">
      <c r="A122" s="47"/>
      <c r="B122" s="17" t="s">
        <v>245</v>
      </c>
      <c r="C122" s="39"/>
      <c r="D122" s="14"/>
      <c r="E122" s="14"/>
      <c r="F122" s="14">
        <f>0.8</f>
        <v>0.8</v>
      </c>
      <c r="G122" s="11">
        <f t="shared" si="25"/>
        <v>0.8</v>
      </c>
      <c r="H122" s="164" t="e">
        <f t="shared" si="26"/>
        <v>#DIV/0!</v>
      </c>
    </row>
    <row r="123" spans="1:15" ht="27.75" customHeight="1">
      <c r="A123" s="47"/>
      <c r="B123" s="13" t="s">
        <v>240</v>
      </c>
      <c r="C123" s="39"/>
      <c r="D123" s="14"/>
      <c r="E123" s="14"/>
      <c r="F123" s="14">
        <f>39.8+4.8</f>
        <v>44.599999999999994</v>
      </c>
      <c r="G123" s="11">
        <f t="shared" si="25"/>
        <v>44.599999999999994</v>
      </c>
      <c r="H123" s="164" t="e">
        <f t="shared" si="26"/>
        <v>#DIV/0!</v>
      </c>
    </row>
    <row r="124" spans="1:15" ht="27.75" customHeight="1">
      <c r="A124" s="47"/>
      <c r="B124" s="13" t="s">
        <v>224</v>
      </c>
      <c r="C124" s="39"/>
      <c r="D124" s="14">
        <v>74.400000000000006</v>
      </c>
      <c r="E124" s="14"/>
      <c r="F124" s="14"/>
      <c r="G124" s="11">
        <f t="shared" si="25"/>
        <v>0</v>
      </c>
      <c r="H124" s="164" t="e">
        <f t="shared" si="26"/>
        <v>#DIV/0!</v>
      </c>
    </row>
    <row r="125" spans="1:15" ht="32.25" customHeight="1">
      <c r="A125" s="47" t="s">
        <v>105</v>
      </c>
      <c r="B125" s="51" t="s">
        <v>205</v>
      </c>
      <c r="C125" s="55"/>
      <c r="D125" s="10">
        <f>D127+D138</f>
        <v>11771.8</v>
      </c>
      <c r="E125" s="10">
        <f>E127+E138</f>
        <v>13214.3</v>
      </c>
      <c r="F125" s="10">
        <f>F127+F138</f>
        <v>13687.7</v>
      </c>
      <c r="G125" s="15">
        <f t="shared" si="25"/>
        <v>473.40000000000146</v>
      </c>
      <c r="H125" s="167">
        <f t="shared" si="26"/>
        <v>103.58248261353231</v>
      </c>
      <c r="I125" s="16"/>
    </row>
    <row r="126" spans="1:15" ht="27" customHeight="1">
      <c r="A126" s="47"/>
      <c r="B126" s="57" t="s">
        <v>86</v>
      </c>
      <c r="C126" s="39"/>
      <c r="D126" s="14"/>
      <c r="E126" s="14"/>
      <c r="F126" s="14"/>
      <c r="G126" s="15"/>
      <c r="H126" s="15"/>
      <c r="I126" s="16"/>
      <c r="K126" s="21"/>
    </row>
    <row r="127" spans="1:15" s="4" customFormat="1" ht="24.75" customHeight="1">
      <c r="A127" s="47" t="s">
        <v>228</v>
      </c>
      <c r="B127" s="51" t="s">
        <v>90</v>
      </c>
      <c r="C127" s="55">
        <v>1010</v>
      </c>
      <c r="D127" s="10">
        <f>D128+D132</f>
        <v>11511.8</v>
      </c>
      <c r="E127" s="10">
        <f>E128+E132</f>
        <v>13026</v>
      </c>
      <c r="F127" s="10">
        <f>F128+F132</f>
        <v>13524.7</v>
      </c>
      <c r="G127" s="15">
        <f t="shared" si="25"/>
        <v>498.70000000000073</v>
      </c>
      <c r="H127" s="15">
        <f t="shared" si="26"/>
        <v>103.82849685244895</v>
      </c>
      <c r="I127" s="78"/>
      <c r="J127" s="80"/>
      <c r="O127" s="73"/>
    </row>
    <row r="128" spans="1:15" s="4" customFormat="1" ht="24.75" customHeight="1">
      <c r="A128" s="33" t="s">
        <v>263</v>
      </c>
      <c r="B128" s="53" t="s">
        <v>106</v>
      </c>
      <c r="C128" s="35">
        <v>1011</v>
      </c>
      <c r="D128" s="36">
        <f>SUM(D129:D131)</f>
        <v>4255.6000000000004</v>
      </c>
      <c r="E128" s="36">
        <f>SUM(E129:E131)</f>
        <v>4430</v>
      </c>
      <c r="F128" s="36">
        <f>SUM(F129:F131)</f>
        <v>4835.8999999999996</v>
      </c>
      <c r="G128" s="37">
        <f t="shared" si="25"/>
        <v>405.89999999999964</v>
      </c>
      <c r="H128" s="37">
        <f t="shared" si="26"/>
        <v>109.16252821670429</v>
      </c>
      <c r="J128" s="80"/>
      <c r="O128" s="73"/>
    </row>
    <row r="129" spans="1:15" ht="24.75" customHeight="1">
      <c r="A129" s="43"/>
      <c r="B129" s="13" t="s">
        <v>176</v>
      </c>
      <c r="C129" s="39"/>
      <c r="D129" s="14">
        <v>3627</v>
      </c>
      <c r="E129" s="14">
        <v>4125</v>
      </c>
      <c r="F129" s="14">
        <f>4282.5-471.1</f>
        <v>3811.4</v>
      </c>
      <c r="G129" s="11">
        <f t="shared" si="25"/>
        <v>-313.59999999999991</v>
      </c>
      <c r="H129" s="11">
        <f t="shared" si="26"/>
        <v>92.397575757575751</v>
      </c>
      <c r="I129" s="48"/>
    </row>
    <row r="130" spans="1:15" ht="24.75" customHeight="1">
      <c r="A130" s="43"/>
      <c r="B130" s="13" t="s">
        <v>220</v>
      </c>
      <c r="C130" s="39"/>
      <c r="D130" s="14">
        <v>58.1</v>
      </c>
      <c r="E130" s="14">
        <v>305</v>
      </c>
      <c r="F130" s="14">
        <v>110.7</v>
      </c>
      <c r="G130" s="11">
        <f t="shared" si="25"/>
        <v>-194.3</v>
      </c>
      <c r="H130" s="11">
        <f t="shared" si="26"/>
        <v>36.295081967213115</v>
      </c>
      <c r="I130" s="48"/>
    </row>
    <row r="131" spans="1:15" ht="24.75" customHeight="1">
      <c r="A131" s="43"/>
      <c r="B131" s="13" t="s">
        <v>177</v>
      </c>
      <c r="C131" s="39"/>
      <c r="D131" s="14">
        <v>570.5</v>
      </c>
      <c r="E131" s="14"/>
      <c r="F131" s="14">
        <f>4671.1-3757.3</f>
        <v>913.80000000000018</v>
      </c>
      <c r="G131" s="11">
        <f t="shared" si="25"/>
        <v>913.80000000000018</v>
      </c>
      <c r="H131" s="50" t="e">
        <f t="shared" si="26"/>
        <v>#DIV/0!</v>
      </c>
    </row>
    <row r="132" spans="1:15" s="4" customFormat="1" ht="24.75" customHeight="1">
      <c r="A132" s="33" t="s">
        <v>229</v>
      </c>
      <c r="B132" s="59" t="s">
        <v>97</v>
      </c>
      <c r="C132" s="60">
        <v>1015</v>
      </c>
      <c r="D132" s="36">
        <f>SUM(D133:D137)</f>
        <v>7256.2</v>
      </c>
      <c r="E132" s="36">
        <f>SUM(E133:E137)</f>
        <v>8596</v>
      </c>
      <c r="F132" s="36">
        <f>SUM(F133:F137)</f>
        <v>8688.8000000000011</v>
      </c>
      <c r="G132" s="37">
        <f t="shared" si="25"/>
        <v>92.800000000001091</v>
      </c>
      <c r="H132" s="37">
        <f t="shared" si="26"/>
        <v>101.07957189390416</v>
      </c>
      <c r="I132" s="144"/>
      <c r="J132" s="80"/>
      <c r="O132" s="73"/>
    </row>
    <row r="133" spans="1:15" ht="24.75" customHeight="1">
      <c r="A133" s="43"/>
      <c r="B133" s="168" t="s">
        <v>281</v>
      </c>
      <c r="C133" s="8"/>
      <c r="D133" s="14">
        <v>442.3</v>
      </c>
      <c r="E133" s="14">
        <v>220.4</v>
      </c>
      <c r="F133" s="14">
        <v>124.6</v>
      </c>
      <c r="G133" s="11">
        <f t="shared" si="25"/>
        <v>-95.800000000000011</v>
      </c>
      <c r="H133" s="11">
        <f t="shared" si="26"/>
        <v>56.53357531760436</v>
      </c>
      <c r="J133" s="140"/>
      <c r="K133" s="1"/>
    </row>
    <row r="134" spans="1:15" ht="24.75" customHeight="1">
      <c r="A134" s="47"/>
      <c r="B134" s="168" t="s">
        <v>167</v>
      </c>
      <c r="C134" s="168"/>
      <c r="D134" s="14">
        <v>4104.8999999999996</v>
      </c>
      <c r="E134" s="14">
        <v>4746.8</v>
      </c>
      <c r="F134" s="14">
        <v>5329.7</v>
      </c>
      <c r="G134" s="11">
        <f t="shared" si="25"/>
        <v>582.89999999999964</v>
      </c>
      <c r="H134" s="11">
        <f t="shared" si="26"/>
        <v>112.27985168955928</v>
      </c>
    </row>
    <row r="135" spans="1:15" ht="24.75" customHeight="1">
      <c r="A135" s="47"/>
      <c r="B135" s="168" t="s">
        <v>168</v>
      </c>
      <c r="C135" s="168"/>
      <c r="D135" s="14">
        <v>501.8</v>
      </c>
      <c r="E135" s="14">
        <v>648.29999999999995</v>
      </c>
      <c r="F135" s="14">
        <v>594.20000000000005</v>
      </c>
      <c r="G135" s="11">
        <f t="shared" si="25"/>
        <v>-54.099999999999909</v>
      </c>
      <c r="H135" s="11">
        <f t="shared" si="26"/>
        <v>91.655097948480659</v>
      </c>
    </row>
    <row r="136" spans="1:15" ht="24.75" customHeight="1">
      <c r="A136" s="47"/>
      <c r="B136" s="168" t="s">
        <v>178</v>
      </c>
      <c r="C136" s="168"/>
      <c r="D136" s="14">
        <v>2004</v>
      </c>
      <c r="E136" s="14">
        <v>2680.7</v>
      </c>
      <c r="F136" s="14">
        <v>2309.1999999999998</v>
      </c>
      <c r="G136" s="11">
        <f t="shared" si="25"/>
        <v>-371.5</v>
      </c>
      <c r="H136" s="11">
        <f t="shared" si="26"/>
        <v>86.14167941209385</v>
      </c>
    </row>
    <row r="137" spans="1:15" ht="24.75" customHeight="1">
      <c r="A137" s="47"/>
      <c r="B137" s="168" t="s">
        <v>170</v>
      </c>
      <c r="C137" s="168"/>
      <c r="D137" s="14">
        <v>203.2</v>
      </c>
      <c r="E137" s="146">
        <v>299.8</v>
      </c>
      <c r="F137" s="14">
        <v>331.1</v>
      </c>
      <c r="G137" s="11">
        <f t="shared" si="25"/>
        <v>31.300000000000011</v>
      </c>
      <c r="H137" s="11">
        <f t="shared" si="26"/>
        <v>110.44029352901934</v>
      </c>
    </row>
    <row r="138" spans="1:15" ht="24.75" customHeight="1">
      <c r="A138" s="47" t="s">
        <v>230</v>
      </c>
      <c r="B138" s="54" t="s">
        <v>92</v>
      </c>
      <c r="C138" s="55">
        <v>1020</v>
      </c>
      <c r="D138" s="10">
        <f>D139</f>
        <v>260.00000000000006</v>
      </c>
      <c r="E138" s="10">
        <f>E139</f>
        <v>188.29999999999998</v>
      </c>
      <c r="F138" s="10">
        <f>F139</f>
        <v>163</v>
      </c>
      <c r="G138" s="15">
        <f t="shared" si="25"/>
        <v>-25.299999999999983</v>
      </c>
      <c r="H138" s="15">
        <f t="shared" si="26"/>
        <v>86.563993627190655</v>
      </c>
      <c r="I138" s="75"/>
      <c r="K138" s="21"/>
    </row>
    <row r="139" spans="1:15" ht="24.75" customHeight="1">
      <c r="A139" s="33" t="s">
        <v>231</v>
      </c>
      <c r="B139" s="53" t="s">
        <v>172</v>
      </c>
      <c r="C139" s="35">
        <v>1025</v>
      </c>
      <c r="D139" s="36">
        <f>SUM(D140:D143)</f>
        <v>260.00000000000006</v>
      </c>
      <c r="E139" s="36">
        <f>SUM(E140:E143)</f>
        <v>188.29999999999998</v>
      </c>
      <c r="F139" s="36">
        <f>SUM(F140:F143)</f>
        <v>163</v>
      </c>
      <c r="G139" s="37">
        <f t="shared" ref="G139:G202" si="27">F139-E139</f>
        <v>-25.299999999999983</v>
      </c>
      <c r="H139" s="37">
        <f t="shared" ref="H139:H202" si="28">(F139/E139)*100</f>
        <v>86.563993627190655</v>
      </c>
    </row>
    <row r="140" spans="1:15" ht="24.75" customHeight="1">
      <c r="A140" s="65"/>
      <c r="B140" s="298" t="s">
        <v>167</v>
      </c>
      <c r="C140" s="39"/>
      <c r="D140" s="14">
        <v>203.4</v>
      </c>
      <c r="E140" s="14">
        <v>106.7</v>
      </c>
      <c r="F140" s="14">
        <v>88.4</v>
      </c>
      <c r="G140" s="11">
        <f t="shared" si="27"/>
        <v>-18.299999999999997</v>
      </c>
      <c r="H140" s="11">
        <f t="shared" si="28"/>
        <v>82.84910965323337</v>
      </c>
    </row>
    <row r="141" spans="1:15" ht="24.75" customHeight="1">
      <c r="A141" s="65"/>
      <c r="B141" s="298" t="s">
        <v>168</v>
      </c>
      <c r="C141" s="39"/>
      <c r="D141" s="14">
        <v>8.3000000000000007</v>
      </c>
      <c r="E141" s="14">
        <v>14.5</v>
      </c>
      <c r="F141" s="14">
        <v>12.6</v>
      </c>
      <c r="G141" s="11">
        <f t="shared" si="27"/>
        <v>-1.9000000000000004</v>
      </c>
      <c r="H141" s="11">
        <f t="shared" si="28"/>
        <v>86.896551724137922</v>
      </c>
    </row>
    <row r="142" spans="1:15" ht="24.75" customHeight="1">
      <c r="A142" s="65"/>
      <c r="B142" s="298" t="s">
        <v>169</v>
      </c>
      <c r="C142" s="39"/>
      <c r="D142" s="14">
        <v>45.5</v>
      </c>
      <c r="E142" s="14">
        <v>60.4</v>
      </c>
      <c r="F142" s="14">
        <v>59</v>
      </c>
      <c r="G142" s="11">
        <f t="shared" si="27"/>
        <v>-1.3999999999999986</v>
      </c>
      <c r="H142" s="11">
        <f t="shared" si="28"/>
        <v>97.682119205298008</v>
      </c>
    </row>
    <row r="143" spans="1:15" ht="24.75" customHeight="1">
      <c r="A143" s="65"/>
      <c r="B143" s="298" t="s">
        <v>179</v>
      </c>
      <c r="C143" s="39"/>
      <c r="D143" s="14">
        <v>2.8</v>
      </c>
      <c r="E143" s="14">
        <v>6.7</v>
      </c>
      <c r="F143" s="14">
        <v>3</v>
      </c>
      <c r="G143" s="11">
        <f t="shared" si="27"/>
        <v>-3.7</v>
      </c>
      <c r="H143" s="11">
        <f t="shared" si="28"/>
        <v>44.776119402985074</v>
      </c>
    </row>
    <row r="144" spans="1:15" ht="30.75" customHeight="1">
      <c r="A144" s="32" t="s">
        <v>265</v>
      </c>
      <c r="B144" s="66" t="s">
        <v>212</v>
      </c>
      <c r="C144" s="55"/>
      <c r="D144" s="10">
        <f>D146</f>
        <v>726.7</v>
      </c>
      <c r="E144" s="10">
        <f>E146</f>
        <v>0</v>
      </c>
      <c r="F144" s="10">
        <f>F146</f>
        <v>4228.4000000000005</v>
      </c>
      <c r="G144" s="15">
        <f t="shared" si="27"/>
        <v>4228.4000000000005</v>
      </c>
      <c r="H144" s="50" t="e">
        <f t="shared" si="28"/>
        <v>#DIV/0!</v>
      </c>
    </row>
    <row r="145" spans="1:15" ht="24.75" customHeight="1">
      <c r="A145" s="65"/>
      <c r="B145" s="67" t="s">
        <v>86</v>
      </c>
      <c r="C145" s="39"/>
      <c r="D145" s="14"/>
      <c r="E145" s="14"/>
      <c r="F145" s="14"/>
      <c r="G145" s="11"/>
      <c r="H145" s="50"/>
    </row>
    <row r="146" spans="1:15" ht="27.75" customHeight="1">
      <c r="A146" s="32" t="s">
        <v>264</v>
      </c>
      <c r="B146" s="66" t="s">
        <v>90</v>
      </c>
      <c r="C146" s="55">
        <v>1010</v>
      </c>
      <c r="D146" s="10">
        <f>D147</f>
        <v>726.7</v>
      </c>
      <c r="E146" s="10"/>
      <c r="F146" s="10">
        <f>F147</f>
        <v>4228.4000000000005</v>
      </c>
      <c r="G146" s="15">
        <f t="shared" si="27"/>
        <v>4228.4000000000005</v>
      </c>
      <c r="H146" s="50" t="e">
        <f t="shared" si="28"/>
        <v>#DIV/0!</v>
      </c>
      <c r="I146" s="16"/>
    </row>
    <row r="147" spans="1:15" ht="27" customHeight="1">
      <c r="A147" s="62" t="s">
        <v>266</v>
      </c>
      <c r="B147" s="61" t="s">
        <v>106</v>
      </c>
      <c r="C147" s="35">
        <v>1011</v>
      </c>
      <c r="D147" s="36">
        <f>SUM(D149:D149)</f>
        <v>726.7</v>
      </c>
      <c r="E147" s="36">
        <f>SUM(E149:E149)</f>
        <v>0</v>
      </c>
      <c r="F147" s="36">
        <f>SUM(F148:F149)</f>
        <v>4228.4000000000005</v>
      </c>
      <c r="G147" s="37">
        <f t="shared" si="27"/>
        <v>4228.4000000000005</v>
      </c>
      <c r="H147" s="165" t="e">
        <f t="shared" si="28"/>
        <v>#DIV/0!</v>
      </c>
    </row>
    <row r="148" spans="1:15" ht="27" customHeight="1">
      <c r="A148" s="62"/>
      <c r="B148" s="13" t="s">
        <v>177</v>
      </c>
      <c r="C148" s="35"/>
      <c r="D148" s="36"/>
      <c r="E148" s="36"/>
      <c r="F148" s="14">
        <v>3757.3</v>
      </c>
      <c r="G148" s="11">
        <f t="shared" si="27"/>
        <v>3757.3</v>
      </c>
      <c r="H148" s="165" t="e">
        <f t="shared" si="28"/>
        <v>#DIV/0!</v>
      </c>
      <c r="I148" s="16"/>
    </row>
    <row r="149" spans="1:15" ht="29.25" customHeight="1">
      <c r="A149" s="65"/>
      <c r="B149" s="13" t="s">
        <v>176</v>
      </c>
      <c r="C149" s="39"/>
      <c r="D149" s="14">
        <v>726.7</v>
      </c>
      <c r="E149" s="14"/>
      <c r="F149" s="14">
        <v>471.1</v>
      </c>
      <c r="G149" s="11">
        <f t="shared" si="27"/>
        <v>471.1</v>
      </c>
      <c r="H149" s="50" t="e">
        <f t="shared" si="28"/>
        <v>#DIV/0!</v>
      </c>
    </row>
    <row r="150" spans="1:15" ht="32.25" customHeight="1">
      <c r="A150" s="32" t="s">
        <v>267</v>
      </c>
      <c r="B150" s="51" t="s">
        <v>182</v>
      </c>
      <c r="C150" s="49"/>
      <c r="D150" s="10">
        <f>D152</f>
        <v>87</v>
      </c>
      <c r="E150" s="10">
        <f>E152</f>
        <v>84.300000000000011</v>
      </c>
      <c r="F150" s="10">
        <f>F152</f>
        <v>262.7</v>
      </c>
      <c r="G150" s="15">
        <f t="shared" si="27"/>
        <v>178.39999999999998</v>
      </c>
      <c r="H150" s="15">
        <f t="shared" si="28"/>
        <v>311.6251482799525</v>
      </c>
    </row>
    <row r="151" spans="1:15" ht="24.75" customHeight="1">
      <c r="A151" s="65"/>
      <c r="B151" s="31" t="s">
        <v>86</v>
      </c>
      <c r="C151" s="68"/>
      <c r="D151" s="14"/>
      <c r="E151" s="14"/>
      <c r="F151" s="14"/>
      <c r="G151" s="15"/>
      <c r="H151" s="15"/>
    </row>
    <row r="152" spans="1:15" ht="27.75" customHeight="1">
      <c r="A152" s="32" t="s">
        <v>268</v>
      </c>
      <c r="B152" s="56" t="s">
        <v>12</v>
      </c>
      <c r="C152" s="55">
        <v>1030</v>
      </c>
      <c r="D152" s="10">
        <f>D153</f>
        <v>87</v>
      </c>
      <c r="E152" s="10">
        <f>E153</f>
        <v>84.300000000000011</v>
      </c>
      <c r="F152" s="10">
        <f>F153</f>
        <v>262.7</v>
      </c>
      <c r="G152" s="15">
        <f t="shared" si="27"/>
        <v>178.39999999999998</v>
      </c>
      <c r="H152" s="15">
        <f t="shared" si="28"/>
        <v>311.6251482799525</v>
      </c>
    </row>
    <row r="153" spans="1:15" ht="27" customHeight="1">
      <c r="A153" s="62" t="s">
        <v>269</v>
      </c>
      <c r="B153" s="69" t="s">
        <v>93</v>
      </c>
      <c r="C153" s="35">
        <v>1035</v>
      </c>
      <c r="D153" s="36">
        <f>SUM(D154:D156)</f>
        <v>87</v>
      </c>
      <c r="E153" s="36">
        <f>SUM(E154:E156)</f>
        <v>84.300000000000011</v>
      </c>
      <c r="F153" s="36">
        <f>SUM(F154:F156)</f>
        <v>262.7</v>
      </c>
      <c r="G153" s="37">
        <f t="shared" si="27"/>
        <v>178.39999999999998</v>
      </c>
      <c r="H153" s="37">
        <f t="shared" si="28"/>
        <v>311.6251482799525</v>
      </c>
    </row>
    <row r="154" spans="1:15" ht="24.75" customHeight="1">
      <c r="A154" s="64"/>
      <c r="B154" s="13" t="s">
        <v>167</v>
      </c>
      <c r="C154" s="39"/>
      <c r="D154" s="14">
        <v>5.9</v>
      </c>
      <c r="E154" s="14">
        <v>5.4</v>
      </c>
      <c r="F154" s="14">
        <v>59.1</v>
      </c>
      <c r="G154" s="11">
        <f t="shared" si="27"/>
        <v>53.7</v>
      </c>
      <c r="H154" s="11">
        <f t="shared" si="28"/>
        <v>1094.4444444444446</v>
      </c>
    </row>
    <row r="155" spans="1:15" ht="24.75" customHeight="1">
      <c r="A155" s="64"/>
      <c r="B155" s="13" t="s">
        <v>168</v>
      </c>
      <c r="C155" s="39"/>
      <c r="D155" s="14">
        <v>8.1999999999999993</v>
      </c>
      <c r="E155" s="14">
        <v>6</v>
      </c>
      <c r="F155" s="14">
        <v>6.7</v>
      </c>
      <c r="G155" s="11">
        <f t="shared" si="27"/>
        <v>0.70000000000000018</v>
      </c>
      <c r="H155" s="11">
        <f t="shared" si="28"/>
        <v>111.66666666666667</v>
      </c>
    </row>
    <row r="156" spans="1:15" ht="26.25" customHeight="1">
      <c r="A156" s="32"/>
      <c r="B156" s="13" t="s">
        <v>169</v>
      </c>
      <c r="C156" s="39"/>
      <c r="D156" s="14">
        <v>72.900000000000006</v>
      </c>
      <c r="E156" s="14">
        <v>72.900000000000006</v>
      </c>
      <c r="F156" s="14">
        <v>196.9</v>
      </c>
      <c r="G156" s="11">
        <f t="shared" si="27"/>
        <v>124</v>
      </c>
      <c r="H156" s="11">
        <f t="shared" si="28"/>
        <v>270.09602194787374</v>
      </c>
    </row>
    <row r="157" spans="1:15" ht="33" customHeight="1">
      <c r="A157" s="32" t="s">
        <v>270</v>
      </c>
      <c r="B157" s="54" t="s">
        <v>183</v>
      </c>
      <c r="C157" s="156"/>
      <c r="D157" s="10">
        <f>D159+D174</f>
        <v>1185.4000000000001</v>
      </c>
      <c r="E157" s="10">
        <f>E159+E174</f>
        <v>1210</v>
      </c>
      <c r="F157" s="10">
        <f>F159+F174</f>
        <v>1986.8999999999999</v>
      </c>
      <c r="G157" s="15">
        <f t="shared" si="27"/>
        <v>776.89999999999986</v>
      </c>
      <c r="H157" s="15">
        <f t="shared" si="28"/>
        <v>164.20661157024793</v>
      </c>
      <c r="K157" s="1"/>
      <c r="L157" s="4"/>
    </row>
    <row r="158" spans="1:15" ht="27" customHeight="1">
      <c r="A158" s="32"/>
      <c r="B158" s="31" t="s">
        <v>86</v>
      </c>
      <c r="C158" s="156"/>
      <c r="D158" s="14"/>
      <c r="E158" s="14"/>
      <c r="F158" s="14"/>
      <c r="G158" s="15"/>
      <c r="H158" s="15"/>
      <c r="I158" s="16"/>
    </row>
    <row r="159" spans="1:15" ht="32.25" customHeight="1">
      <c r="A159" s="32" t="s">
        <v>271</v>
      </c>
      <c r="B159" s="51" t="s">
        <v>90</v>
      </c>
      <c r="C159" s="156">
        <v>1010</v>
      </c>
      <c r="D159" s="10">
        <f>D163</f>
        <v>1177.7</v>
      </c>
      <c r="E159" s="10">
        <f>E163</f>
        <v>1192.5</v>
      </c>
      <c r="F159" s="10">
        <f>F163+F160</f>
        <v>1118.3</v>
      </c>
      <c r="G159" s="15">
        <f t="shared" si="27"/>
        <v>-74.200000000000045</v>
      </c>
      <c r="H159" s="15">
        <f t="shared" si="28"/>
        <v>93.777777777777771</v>
      </c>
      <c r="I159" s="16"/>
    </row>
    <row r="160" spans="1:15" s="155" customFormat="1" ht="32.25" customHeight="1">
      <c r="A160" s="62" t="s">
        <v>272</v>
      </c>
      <c r="B160" s="61" t="s">
        <v>106</v>
      </c>
      <c r="C160" s="35">
        <v>1011</v>
      </c>
      <c r="D160" s="36"/>
      <c r="E160" s="36"/>
      <c r="F160" s="36">
        <f>SUM(F161:F162)</f>
        <v>441.9</v>
      </c>
      <c r="G160" s="37">
        <f t="shared" si="27"/>
        <v>441.9</v>
      </c>
      <c r="H160" s="164" t="e">
        <f t="shared" si="28"/>
        <v>#DIV/0!</v>
      </c>
      <c r="I160" s="154"/>
      <c r="J160" s="81"/>
      <c r="K160" s="77"/>
      <c r="O160" s="166"/>
    </row>
    <row r="161" spans="1:11" ht="39.75" customHeight="1">
      <c r="A161" s="64"/>
      <c r="B161" s="13" t="s">
        <v>159</v>
      </c>
      <c r="C161" s="8"/>
      <c r="D161" s="14"/>
      <c r="E161" s="14"/>
      <c r="F161" s="14">
        <f>166+52.6</f>
        <v>218.6</v>
      </c>
      <c r="G161" s="11">
        <f t="shared" si="27"/>
        <v>218.6</v>
      </c>
      <c r="H161" s="50" t="e">
        <f t="shared" si="28"/>
        <v>#DIV/0!</v>
      </c>
      <c r="I161" s="16"/>
      <c r="J161" s="140"/>
      <c r="K161" s="1"/>
    </row>
    <row r="162" spans="1:11" ht="27" customHeight="1">
      <c r="A162" s="64"/>
      <c r="B162" s="13" t="s">
        <v>160</v>
      </c>
      <c r="C162" s="8"/>
      <c r="D162" s="14"/>
      <c r="E162" s="14"/>
      <c r="F162" s="14">
        <f>104+119.3</f>
        <v>223.3</v>
      </c>
      <c r="G162" s="11">
        <f t="shared" si="27"/>
        <v>223.3</v>
      </c>
      <c r="H162" s="50" t="e">
        <f t="shared" si="28"/>
        <v>#DIV/0!</v>
      </c>
      <c r="I162" s="16"/>
      <c r="J162" s="140"/>
      <c r="K162" s="1"/>
    </row>
    <row r="163" spans="1:11" ht="28.5" customHeight="1">
      <c r="A163" s="62" t="s">
        <v>272</v>
      </c>
      <c r="B163" s="34" t="s">
        <v>97</v>
      </c>
      <c r="C163" s="60">
        <v>1015</v>
      </c>
      <c r="D163" s="36">
        <f>SUM(D164:D173)</f>
        <v>1177.7</v>
      </c>
      <c r="E163" s="36">
        <f>SUM(E164:E173)</f>
        <v>1192.5</v>
      </c>
      <c r="F163" s="36">
        <f>SUM(F164:F173)</f>
        <v>676.4</v>
      </c>
      <c r="G163" s="37">
        <f t="shared" si="27"/>
        <v>-516.1</v>
      </c>
      <c r="H163" s="37">
        <f t="shared" si="28"/>
        <v>56.721174004192868</v>
      </c>
    </row>
    <row r="164" spans="1:11" ht="28.5" customHeight="1">
      <c r="A164" s="62"/>
      <c r="B164" s="13" t="s">
        <v>145</v>
      </c>
      <c r="C164" s="8"/>
      <c r="D164" s="14">
        <v>522.5</v>
      </c>
      <c r="E164" s="14">
        <v>150</v>
      </c>
      <c r="F164" s="36"/>
      <c r="G164" s="37">
        <f t="shared" si="27"/>
        <v>-150</v>
      </c>
      <c r="H164" s="37">
        <f t="shared" si="28"/>
        <v>0</v>
      </c>
    </row>
    <row r="165" spans="1:11" ht="28.5" customHeight="1">
      <c r="A165" s="62"/>
      <c r="B165" s="13" t="s">
        <v>147</v>
      </c>
      <c r="C165" s="8"/>
      <c r="D165" s="14">
        <v>265</v>
      </c>
      <c r="E165" s="14">
        <v>172.5</v>
      </c>
      <c r="F165" s="36"/>
      <c r="G165" s="37">
        <f t="shared" si="27"/>
        <v>-172.5</v>
      </c>
      <c r="H165" s="37">
        <f t="shared" si="28"/>
        <v>0</v>
      </c>
    </row>
    <row r="166" spans="1:11" ht="24.75" customHeight="1">
      <c r="A166" s="64"/>
      <c r="B166" s="13" t="s">
        <v>184</v>
      </c>
      <c r="C166" s="8"/>
      <c r="D166" s="14">
        <v>325.2</v>
      </c>
      <c r="E166" s="14">
        <v>270</v>
      </c>
      <c r="F166" s="14">
        <f>30</f>
        <v>30</v>
      </c>
      <c r="G166" s="11">
        <f t="shared" si="27"/>
        <v>-240</v>
      </c>
      <c r="H166" s="11">
        <f t="shared" si="28"/>
        <v>11.111111111111111</v>
      </c>
    </row>
    <row r="167" spans="1:11" ht="24.75" customHeight="1">
      <c r="A167" s="64"/>
      <c r="B167" s="13" t="s">
        <v>174</v>
      </c>
      <c r="C167" s="8"/>
      <c r="D167" s="14"/>
      <c r="E167" s="14"/>
      <c r="F167" s="14">
        <f>85+26.6+20.2+21+1.6</f>
        <v>154.39999999999998</v>
      </c>
      <c r="G167" s="11">
        <f t="shared" si="27"/>
        <v>154.39999999999998</v>
      </c>
      <c r="H167" s="50" t="e">
        <f t="shared" si="28"/>
        <v>#DIV/0!</v>
      </c>
    </row>
    <row r="168" spans="1:11" ht="24.75" customHeight="1">
      <c r="A168" s="64"/>
      <c r="B168" s="13" t="s">
        <v>221</v>
      </c>
      <c r="C168" s="8"/>
      <c r="D168" s="14"/>
      <c r="E168" s="14"/>
      <c r="F168" s="14">
        <f>18+10.5</f>
        <v>28.5</v>
      </c>
      <c r="G168" s="11">
        <f t="shared" si="27"/>
        <v>28.5</v>
      </c>
      <c r="H168" s="50" t="e">
        <f t="shared" si="28"/>
        <v>#DIV/0!</v>
      </c>
    </row>
    <row r="169" spans="1:11" ht="24.75" customHeight="1">
      <c r="A169" s="64"/>
      <c r="B169" s="13" t="s">
        <v>150</v>
      </c>
      <c r="C169" s="8"/>
      <c r="D169" s="14"/>
      <c r="E169" s="14"/>
      <c r="F169" s="14">
        <f>52</f>
        <v>52</v>
      </c>
      <c r="G169" s="11">
        <f t="shared" si="27"/>
        <v>52</v>
      </c>
      <c r="H169" s="50" t="e">
        <f t="shared" si="28"/>
        <v>#DIV/0!</v>
      </c>
    </row>
    <row r="170" spans="1:11" ht="24.75" customHeight="1">
      <c r="A170" s="64"/>
      <c r="B170" s="13" t="s">
        <v>163</v>
      </c>
      <c r="C170" s="8"/>
      <c r="D170" s="14"/>
      <c r="E170" s="14"/>
      <c r="F170" s="14">
        <f>32</f>
        <v>32</v>
      </c>
      <c r="G170" s="11">
        <f t="shared" si="27"/>
        <v>32</v>
      </c>
      <c r="H170" s="50" t="e">
        <f t="shared" si="28"/>
        <v>#DIV/0!</v>
      </c>
    </row>
    <row r="171" spans="1:11" ht="24.75" customHeight="1">
      <c r="A171" s="64"/>
      <c r="B171" s="13" t="s">
        <v>347</v>
      </c>
      <c r="C171" s="8"/>
      <c r="D171" s="14"/>
      <c r="E171" s="14"/>
      <c r="F171" s="14">
        <f>5.2+5.5</f>
        <v>10.7</v>
      </c>
      <c r="G171" s="11">
        <f t="shared" si="27"/>
        <v>10.7</v>
      </c>
      <c r="H171" s="50" t="e">
        <f t="shared" si="28"/>
        <v>#DIV/0!</v>
      </c>
    </row>
    <row r="172" spans="1:11" ht="44.25" customHeight="1">
      <c r="A172" s="64"/>
      <c r="B172" s="13" t="s">
        <v>279</v>
      </c>
      <c r="C172" s="8"/>
      <c r="D172" s="14"/>
      <c r="E172" s="14"/>
      <c r="F172" s="14">
        <f>105+72.8</f>
        <v>177.8</v>
      </c>
      <c r="G172" s="11">
        <f t="shared" si="27"/>
        <v>177.8</v>
      </c>
      <c r="H172" s="50" t="e">
        <f t="shared" si="28"/>
        <v>#DIV/0!</v>
      </c>
    </row>
    <row r="173" spans="1:11" ht="24.75" customHeight="1">
      <c r="A173" s="64"/>
      <c r="B173" s="13" t="s">
        <v>195</v>
      </c>
      <c r="C173" s="8"/>
      <c r="D173" s="14">
        <v>65</v>
      </c>
      <c r="E173" s="14">
        <v>600</v>
      </c>
      <c r="F173" s="14">
        <f>191</f>
        <v>191</v>
      </c>
      <c r="G173" s="11">
        <f t="shared" si="27"/>
        <v>-409</v>
      </c>
      <c r="H173" s="11">
        <f t="shared" si="28"/>
        <v>31.833333333333336</v>
      </c>
    </row>
    <row r="174" spans="1:11" ht="28.5" customHeight="1">
      <c r="A174" s="32" t="s">
        <v>273</v>
      </c>
      <c r="B174" s="157" t="s">
        <v>92</v>
      </c>
      <c r="C174" s="156">
        <v>1020</v>
      </c>
      <c r="D174" s="10">
        <f t="shared" ref="D174:F174" si="29">D175</f>
        <v>7.7</v>
      </c>
      <c r="E174" s="10">
        <f t="shared" si="29"/>
        <v>17.5</v>
      </c>
      <c r="F174" s="10">
        <f t="shared" si="29"/>
        <v>868.59999999999991</v>
      </c>
      <c r="G174" s="15">
        <f t="shared" si="27"/>
        <v>851.09999999999991</v>
      </c>
      <c r="H174" s="15">
        <f t="shared" si="28"/>
        <v>4963.4285714285706</v>
      </c>
    </row>
    <row r="175" spans="1:11" ht="30" customHeight="1">
      <c r="A175" s="62" t="s">
        <v>274</v>
      </c>
      <c r="B175" s="53" t="s">
        <v>172</v>
      </c>
      <c r="C175" s="35">
        <v>1025</v>
      </c>
      <c r="D175" s="36">
        <f>D185</f>
        <v>7.7</v>
      </c>
      <c r="E175" s="36">
        <f>E185+E186</f>
        <v>17.5</v>
      </c>
      <c r="F175" s="36">
        <f>SUM(F176:F186)</f>
        <v>868.59999999999991</v>
      </c>
      <c r="G175" s="37">
        <f t="shared" si="27"/>
        <v>851.09999999999991</v>
      </c>
      <c r="H175" s="37">
        <f t="shared" si="28"/>
        <v>4963.4285714285706</v>
      </c>
    </row>
    <row r="176" spans="1:11" ht="30" customHeight="1">
      <c r="A176" s="62"/>
      <c r="B176" s="299" t="s">
        <v>151</v>
      </c>
      <c r="C176" s="39"/>
      <c r="D176" s="36"/>
      <c r="E176" s="14"/>
      <c r="F176" s="14">
        <f>174+58.3</f>
        <v>232.3</v>
      </c>
      <c r="G176" s="37">
        <f t="shared" si="27"/>
        <v>232.3</v>
      </c>
      <c r="H176" s="164" t="e">
        <f t="shared" si="28"/>
        <v>#DIV/0!</v>
      </c>
    </row>
    <row r="177" spans="1:9" ht="30" customHeight="1">
      <c r="A177" s="62"/>
      <c r="B177" s="17" t="s">
        <v>163</v>
      </c>
      <c r="C177" s="39"/>
      <c r="D177" s="36"/>
      <c r="E177" s="14"/>
      <c r="F177" s="14">
        <f>41</f>
        <v>41</v>
      </c>
      <c r="G177" s="37">
        <f t="shared" si="27"/>
        <v>41</v>
      </c>
      <c r="H177" s="164" t="e">
        <f t="shared" si="28"/>
        <v>#DIV/0!</v>
      </c>
    </row>
    <row r="178" spans="1:9" ht="30" customHeight="1">
      <c r="A178" s="62"/>
      <c r="B178" s="13" t="s">
        <v>165</v>
      </c>
      <c r="C178" s="39"/>
      <c r="D178" s="36"/>
      <c r="E178" s="14"/>
      <c r="F178" s="14">
        <f>75+44.3+6.3</f>
        <v>125.6</v>
      </c>
      <c r="G178" s="37">
        <f t="shared" si="27"/>
        <v>125.6</v>
      </c>
      <c r="H178" s="164" t="e">
        <f t="shared" si="28"/>
        <v>#DIV/0!</v>
      </c>
    </row>
    <row r="179" spans="1:9" ht="30" customHeight="1">
      <c r="A179" s="62"/>
      <c r="B179" s="13" t="s">
        <v>156</v>
      </c>
      <c r="C179" s="39"/>
      <c r="D179" s="36"/>
      <c r="E179" s="14"/>
      <c r="F179" s="14">
        <f>12+23.6+8.5</f>
        <v>44.1</v>
      </c>
      <c r="G179" s="37">
        <f t="shared" si="27"/>
        <v>44.1</v>
      </c>
      <c r="H179" s="164" t="e">
        <f t="shared" si="28"/>
        <v>#DIV/0!</v>
      </c>
    </row>
    <row r="180" spans="1:9" ht="30" customHeight="1">
      <c r="A180" s="62"/>
      <c r="B180" s="13" t="s">
        <v>240</v>
      </c>
      <c r="C180" s="39"/>
      <c r="D180" s="36"/>
      <c r="E180" s="14"/>
      <c r="F180" s="14">
        <f>95</f>
        <v>95</v>
      </c>
      <c r="G180" s="37">
        <f t="shared" si="27"/>
        <v>95</v>
      </c>
      <c r="H180" s="164" t="e">
        <f t="shared" si="28"/>
        <v>#DIV/0!</v>
      </c>
    </row>
    <row r="181" spans="1:9" ht="30" customHeight="1">
      <c r="A181" s="62"/>
      <c r="B181" s="17" t="s">
        <v>245</v>
      </c>
      <c r="C181" s="39"/>
      <c r="D181" s="36"/>
      <c r="E181" s="14"/>
      <c r="F181" s="14">
        <f>36.2+4.6</f>
        <v>40.800000000000004</v>
      </c>
      <c r="G181" s="37">
        <f t="shared" si="27"/>
        <v>40.800000000000004</v>
      </c>
      <c r="H181" s="164" t="e">
        <f t="shared" si="28"/>
        <v>#DIV/0!</v>
      </c>
    </row>
    <row r="182" spans="1:9" ht="30" customHeight="1">
      <c r="A182" s="62"/>
      <c r="B182" s="17" t="s">
        <v>207</v>
      </c>
      <c r="C182" s="39"/>
      <c r="D182" s="36"/>
      <c r="E182" s="14"/>
      <c r="F182" s="14">
        <f>28.9+11+9.2</f>
        <v>49.099999999999994</v>
      </c>
      <c r="G182" s="37">
        <f t="shared" si="27"/>
        <v>49.099999999999994</v>
      </c>
      <c r="H182" s="164" t="e">
        <f t="shared" si="28"/>
        <v>#DIV/0!</v>
      </c>
    </row>
    <row r="183" spans="1:9" ht="30" customHeight="1">
      <c r="A183" s="62"/>
      <c r="B183" s="13" t="s">
        <v>224</v>
      </c>
      <c r="C183" s="39"/>
      <c r="D183" s="14"/>
      <c r="E183" s="14"/>
      <c r="F183" s="14">
        <f>7+8+179.4</f>
        <v>194.4</v>
      </c>
      <c r="G183" s="37">
        <f t="shared" si="27"/>
        <v>194.4</v>
      </c>
      <c r="H183" s="164" t="e">
        <f t="shared" si="28"/>
        <v>#DIV/0!</v>
      </c>
    </row>
    <row r="184" spans="1:9" ht="32.25" customHeight="1">
      <c r="A184" s="62"/>
      <c r="B184" s="17" t="s">
        <v>244</v>
      </c>
      <c r="C184" s="39"/>
      <c r="D184" s="14"/>
      <c r="E184" s="14"/>
      <c r="F184" s="14">
        <f>45.5</f>
        <v>45.5</v>
      </c>
      <c r="G184" s="37">
        <f t="shared" si="27"/>
        <v>45.5</v>
      </c>
      <c r="H184" s="164" t="e">
        <f t="shared" si="28"/>
        <v>#DIV/0!</v>
      </c>
    </row>
    <row r="185" spans="1:9" ht="27" customHeight="1">
      <c r="A185" s="32"/>
      <c r="B185" s="17" t="s">
        <v>185</v>
      </c>
      <c r="C185" s="39"/>
      <c r="D185" s="14">
        <v>7.7</v>
      </c>
      <c r="E185" s="14">
        <v>7.5</v>
      </c>
      <c r="F185" s="14"/>
      <c r="G185" s="11">
        <f t="shared" si="27"/>
        <v>-7.5</v>
      </c>
      <c r="H185" s="11">
        <f t="shared" si="28"/>
        <v>0</v>
      </c>
    </row>
    <row r="186" spans="1:9" ht="24.75" customHeight="1">
      <c r="A186" s="32"/>
      <c r="B186" s="17" t="s">
        <v>249</v>
      </c>
      <c r="C186" s="39"/>
      <c r="D186" s="14"/>
      <c r="E186" s="14">
        <v>10</v>
      </c>
      <c r="F186" s="14">
        <v>0.8</v>
      </c>
      <c r="G186" s="11">
        <f t="shared" si="27"/>
        <v>-9.1999999999999993</v>
      </c>
      <c r="H186" s="11">
        <f t="shared" si="28"/>
        <v>8</v>
      </c>
    </row>
    <row r="187" spans="1:9" ht="34.5" customHeight="1">
      <c r="A187" s="32" t="s">
        <v>275</v>
      </c>
      <c r="B187" s="54" t="s">
        <v>241</v>
      </c>
      <c r="C187" s="55"/>
      <c r="D187" s="10">
        <f>D189</f>
        <v>19.5</v>
      </c>
      <c r="E187" s="10"/>
      <c r="F187" s="10">
        <f>F189</f>
        <v>9.8000000000000007</v>
      </c>
      <c r="G187" s="15">
        <f t="shared" si="27"/>
        <v>9.8000000000000007</v>
      </c>
      <c r="H187" s="167" t="e">
        <f t="shared" si="28"/>
        <v>#DIV/0!</v>
      </c>
    </row>
    <row r="188" spans="1:9" ht="28.5" customHeight="1">
      <c r="A188" s="32"/>
      <c r="B188" s="163" t="s">
        <v>86</v>
      </c>
      <c r="C188" s="39"/>
      <c r="D188" s="93"/>
      <c r="E188" s="14"/>
      <c r="F188" s="14"/>
      <c r="G188" s="11"/>
      <c r="H188" s="50"/>
    </row>
    <row r="189" spans="1:9" ht="29.25" customHeight="1">
      <c r="A189" s="32" t="s">
        <v>276</v>
      </c>
      <c r="B189" s="54" t="s">
        <v>242</v>
      </c>
      <c r="C189" s="55">
        <v>1030</v>
      </c>
      <c r="D189" s="10">
        <f>D190</f>
        <v>19.5</v>
      </c>
      <c r="E189" s="10"/>
      <c r="F189" s="10">
        <f>F190</f>
        <v>9.8000000000000007</v>
      </c>
      <c r="G189" s="15">
        <f t="shared" si="27"/>
        <v>9.8000000000000007</v>
      </c>
      <c r="H189" s="167" t="e">
        <f t="shared" si="28"/>
        <v>#DIV/0!</v>
      </c>
    </row>
    <row r="190" spans="1:9" ht="27.75" customHeight="1">
      <c r="A190" s="62" t="s">
        <v>277</v>
      </c>
      <c r="B190" s="53" t="s">
        <v>242</v>
      </c>
      <c r="C190" s="35">
        <v>1035</v>
      </c>
      <c r="D190" s="36">
        <f>D191</f>
        <v>19.5</v>
      </c>
      <c r="E190" s="36"/>
      <c r="F190" s="36">
        <f>F191</f>
        <v>9.8000000000000007</v>
      </c>
      <c r="G190" s="37">
        <f t="shared" si="27"/>
        <v>9.8000000000000007</v>
      </c>
      <c r="H190" s="164" t="e">
        <f t="shared" si="28"/>
        <v>#DIV/0!</v>
      </c>
    </row>
    <row r="191" spans="1:9" ht="24.75" customHeight="1">
      <c r="A191" s="32"/>
      <c r="B191" s="17" t="s">
        <v>243</v>
      </c>
      <c r="C191" s="39"/>
      <c r="D191" s="14">
        <v>19.5</v>
      </c>
      <c r="E191" s="14"/>
      <c r="F191" s="14">
        <v>9.8000000000000007</v>
      </c>
      <c r="G191" s="11">
        <f t="shared" si="27"/>
        <v>9.8000000000000007</v>
      </c>
      <c r="H191" s="50" t="e">
        <f t="shared" si="28"/>
        <v>#DIV/0!</v>
      </c>
    </row>
    <row r="192" spans="1:9" ht="31.5" customHeight="1">
      <c r="A192" s="32" t="s">
        <v>180</v>
      </c>
      <c r="B192" s="157" t="s">
        <v>198</v>
      </c>
      <c r="C192" s="180"/>
      <c r="D192" s="10">
        <f>D194</f>
        <v>4879.2</v>
      </c>
      <c r="E192" s="10">
        <f>E194</f>
        <v>0</v>
      </c>
      <c r="F192" s="10">
        <f>F194+F210</f>
        <v>2085.7999999999997</v>
      </c>
      <c r="G192" s="15">
        <f t="shared" si="27"/>
        <v>2085.7999999999997</v>
      </c>
      <c r="H192" s="50" t="e">
        <f t="shared" si="28"/>
        <v>#DIV/0!</v>
      </c>
      <c r="I192" s="16"/>
    </row>
    <row r="193" spans="1:15" ht="24.75" customHeight="1">
      <c r="A193" s="64"/>
      <c r="B193" s="31" t="s">
        <v>86</v>
      </c>
      <c r="C193" s="8"/>
      <c r="D193" s="14"/>
      <c r="E193" s="14">
        <f>E195</f>
        <v>0</v>
      </c>
      <c r="F193" s="14"/>
      <c r="G193" s="15"/>
      <c r="H193" s="167"/>
    </row>
    <row r="194" spans="1:15" ht="29.25" customHeight="1">
      <c r="A194" s="32" t="s">
        <v>232</v>
      </c>
      <c r="B194" s="157" t="s">
        <v>90</v>
      </c>
      <c r="C194" s="156">
        <v>1010</v>
      </c>
      <c r="D194" s="10">
        <f>D195+D202+D201</f>
        <v>4879.2</v>
      </c>
      <c r="E194" s="10"/>
      <c r="F194" s="10">
        <f>F195+F202</f>
        <v>2080.7999999999997</v>
      </c>
      <c r="G194" s="15">
        <f t="shared" si="27"/>
        <v>2080.7999999999997</v>
      </c>
      <c r="H194" s="167" t="e">
        <f t="shared" si="28"/>
        <v>#DIV/0!</v>
      </c>
    </row>
    <row r="195" spans="1:15" s="77" customFormat="1" ht="27.75" customHeight="1">
      <c r="A195" s="62" t="s">
        <v>233</v>
      </c>
      <c r="B195" s="53" t="s">
        <v>106</v>
      </c>
      <c r="C195" s="35">
        <v>1011</v>
      </c>
      <c r="D195" s="36">
        <f>SUM(D196:D200)</f>
        <v>4442.8999999999996</v>
      </c>
      <c r="E195" s="36"/>
      <c r="F195" s="36">
        <f>SUM(F196:F200)</f>
        <v>1959.8999999999999</v>
      </c>
      <c r="G195" s="37">
        <f t="shared" si="27"/>
        <v>1959.8999999999999</v>
      </c>
      <c r="H195" s="164" t="e">
        <f t="shared" si="28"/>
        <v>#DIV/0!</v>
      </c>
      <c r="J195" s="81"/>
      <c r="O195" s="79"/>
    </row>
    <row r="196" spans="1:15" ht="24.75" customHeight="1">
      <c r="A196" s="32"/>
      <c r="B196" s="17" t="s">
        <v>192</v>
      </c>
      <c r="C196" s="55"/>
      <c r="D196" s="14">
        <v>4118.1000000000004</v>
      </c>
      <c r="E196" s="14"/>
      <c r="F196" s="14">
        <f>1885.3-143.2-5.9</f>
        <v>1736.1999999999998</v>
      </c>
      <c r="G196" s="11">
        <f t="shared" si="27"/>
        <v>1736.1999999999998</v>
      </c>
      <c r="H196" s="50" t="e">
        <f t="shared" si="28"/>
        <v>#DIV/0!</v>
      </c>
    </row>
    <row r="197" spans="1:15" ht="24.75" customHeight="1">
      <c r="A197" s="32"/>
      <c r="B197" s="17" t="s">
        <v>173</v>
      </c>
      <c r="C197" s="55"/>
      <c r="D197" s="14">
        <v>47.9</v>
      </c>
      <c r="E197" s="14"/>
      <c r="F197" s="14">
        <v>33</v>
      </c>
      <c r="G197" s="11">
        <f t="shared" si="27"/>
        <v>33</v>
      </c>
      <c r="H197" s="50" t="e">
        <f t="shared" si="28"/>
        <v>#DIV/0!</v>
      </c>
    </row>
    <row r="198" spans="1:15" ht="24.75" customHeight="1">
      <c r="A198" s="32"/>
      <c r="B198" s="17" t="s">
        <v>138</v>
      </c>
      <c r="C198" s="55"/>
      <c r="D198" s="14">
        <v>228.9</v>
      </c>
      <c r="E198" s="14"/>
      <c r="F198" s="14">
        <v>140.19999999999999</v>
      </c>
      <c r="G198" s="11">
        <f t="shared" si="27"/>
        <v>140.19999999999999</v>
      </c>
      <c r="H198" s="50" t="e">
        <f t="shared" si="28"/>
        <v>#DIV/0!</v>
      </c>
    </row>
    <row r="199" spans="1:15" ht="24.75" customHeight="1">
      <c r="A199" s="32"/>
      <c r="B199" s="17" t="s">
        <v>199</v>
      </c>
      <c r="C199" s="55"/>
      <c r="D199" s="14">
        <v>3</v>
      </c>
      <c r="E199" s="14"/>
      <c r="F199" s="14">
        <f>13.2+13.6</f>
        <v>26.799999999999997</v>
      </c>
      <c r="G199" s="11">
        <f t="shared" si="27"/>
        <v>26.799999999999997</v>
      </c>
      <c r="H199" s="50" t="e">
        <f t="shared" si="28"/>
        <v>#DIV/0!</v>
      </c>
    </row>
    <row r="200" spans="1:15" ht="40.5" customHeight="1">
      <c r="A200" s="32"/>
      <c r="B200" s="13" t="s">
        <v>193</v>
      </c>
      <c r="C200" s="55"/>
      <c r="D200" s="14">
        <v>45</v>
      </c>
      <c r="E200" s="14"/>
      <c r="F200" s="14">
        <v>23.7</v>
      </c>
      <c r="G200" s="11">
        <f t="shared" si="27"/>
        <v>23.7</v>
      </c>
      <c r="H200" s="50" t="e">
        <f t="shared" si="28"/>
        <v>#DIV/0!</v>
      </c>
      <c r="I200" s="16"/>
    </row>
    <row r="201" spans="1:15" s="77" customFormat="1" ht="30.75" customHeight="1">
      <c r="A201" s="62" t="s">
        <v>234</v>
      </c>
      <c r="B201" s="34" t="s">
        <v>4</v>
      </c>
      <c r="C201" s="35">
        <v>1014</v>
      </c>
      <c r="D201" s="36">
        <v>14.8</v>
      </c>
      <c r="E201" s="36"/>
      <c r="F201" s="36"/>
      <c r="G201" s="37">
        <f t="shared" si="27"/>
        <v>0</v>
      </c>
      <c r="H201" s="164" t="e">
        <f t="shared" si="28"/>
        <v>#DIV/0!</v>
      </c>
      <c r="I201" s="147"/>
      <c r="J201" s="81"/>
      <c r="O201" s="79"/>
    </row>
    <row r="202" spans="1:15" s="77" customFormat="1" ht="27" customHeight="1">
      <c r="A202" s="62" t="s">
        <v>355</v>
      </c>
      <c r="B202" s="63" t="s">
        <v>97</v>
      </c>
      <c r="C202" s="60">
        <v>1015</v>
      </c>
      <c r="D202" s="36">
        <f>SUM(D203:D209)</f>
        <v>421.50000000000006</v>
      </c>
      <c r="E202" s="36">
        <f>SUM(E203:E209)</f>
        <v>0</v>
      </c>
      <c r="F202" s="36">
        <f>SUM(F203:F209)</f>
        <v>120.89999999999999</v>
      </c>
      <c r="G202" s="37">
        <f t="shared" si="27"/>
        <v>120.89999999999999</v>
      </c>
      <c r="H202" s="164" t="e">
        <f t="shared" si="28"/>
        <v>#DIV/0!</v>
      </c>
      <c r="J202" s="81"/>
      <c r="O202" s="79"/>
    </row>
    <row r="203" spans="1:15" ht="27" customHeight="1">
      <c r="A203" s="64"/>
      <c r="B203" s="70" t="s">
        <v>147</v>
      </c>
      <c r="C203" s="8"/>
      <c r="D203" s="14">
        <v>2.1</v>
      </c>
      <c r="E203" s="14"/>
      <c r="F203" s="14">
        <v>1</v>
      </c>
      <c r="G203" s="11">
        <f t="shared" ref="G203:G249" si="30">F203-E203</f>
        <v>1</v>
      </c>
      <c r="H203" s="50" t="e">
        <f t="shared" ref="H203:H249" si="31">(F203/E203)*100</f>
        <v>#DIV/0!</v>
      </c>
      <c r="J203" s="140"/>
      <c r="K203" s="1"/>
    </row>
    <row r="204" spans="1:15" ht="27" customHeight="1">
      <c r="A204" s="64"/>
      <c r="B204" s="70" t="s">
        <v>346</v>
      </c>
      <c r="C204" s="8"/>
      <c r="D204" s="14">
        <v>7</v>
      </c>
      <c r="E204" s="14"/>
      <c r="F204" s="14">
        <f>8.6</f>
        <v>8.6</v>
      </c>
      <c r="G204" s="11">
        <f t="shared" si="30"/>
        <v>8.6</v>
      </c>
      <c r="H204" s="50" t="e">
        <f t="shared" si="31"/>
        <v>#DIV/0!</v>
      </c>
      <c r="J204" s="140"/>
      <c r="K204" s="1"/>
    </row>
    <row r="205" spans="1:15" ht="24.75" customHeight="1">
      <c r="A205" s="32"/>
      <c r="B205" s="13" t="s">
        <v>164</v>
      </c>
      <c r="C205" s="8"/>
      <c r="D205" s="14">
        <v>319.8</v>
      </c>
      <c r="E205" s="14"/>
      <c r="F205" s="14">
        <f>75.9</f>
        <v>75.900000000000006</v>
      </c>
      <c r="G205" s="11">
        <f t="shared" si="30"/>
        <v>75.900000000000006</v>
      </c>
      <c r="H205" s="50" t="e">
        <f t="shared" si="31"/>
        <v>#DIV/0!</v>
      </c>
    </row>
    <row r="206" spans="1:15" ht="24.75" customHeight="1">
      <c r="A206" s="32"/>
      <c r="B206" s="13" t="s">
        <v>184</v>
      </c>
      <c r="C206" s="8"/>
      <c r="D206" s="14">
        <v>85</v>
      </c>
      <c r="E206" s="14"/>
      <c r="F206" s="14">
        <f>4.8+20.5</f>
        <v>25.3</v>
      </c>
      <c r="G206" s="11">
        <f t="shared" si="30"/>
        <v>25.3</v>
      </c>
      <c r="H206" s="50" t="e">
        <f t="shared" si="31"/>
        <v>#DIV/0!</v>
      </c>
    </row>
    <row r="207" spans="1:15" ht="24.75" customHeight="1">
      <c r="A207" s="32"/>
      <c r="B207" s="13" t="s">
        <v>174</v>
      </c>
      <c r="C207" s="8"/>
      <c r="D207" s="14">
        <v>2.6</v>
      </c>
      <c r="E207" s="14"/>
      <c r="F207" s="14"/>
      <c r="G207" s="11">
        <f t="shared" si="30"/>
        <v>0</v>
      </c>
      <c r="H207" s="50" t="e">
        <f t="shared" si="31"/>
        <v>#DIV/0!</v>
      </c>
    </row>
    <row r="208" spans="1:15" ht="24.75" customHeight="1">
      <c r="A208" s="32"/>
      <c r="B208" s="13" t="s">
        <v>178</v>
      </c>
      <c r="C208" s="8"/>
      <c r="D208" s="14">
        <v>2.5</v>
      </c>
      <c r="E208" s="14"/>
      <c r="F208" s="14">
        <v>10.1</v>
      </c>
      <c r="G208" s="11">
        <f t="shared" si="30"/>
        <v>10.1</v>
      </c>
      <c r="H208" s="50" t="e">
        <f t="shared" si="31"/>
        <v>#DIV/0!</v>
      </c>
    </row>
    <row r="209" spans="1:15" ht="24.75" customHeight="1">
      <c r="A209" s="32"/>
      <c r="B209" s="13" t="s">
        <v>170</v>
      </c>
      <c r="C209" s="8"/>
      <c r="D209" s="14">
        <v>2.5</v>
      </c>
      <c r="E209" s="14"/>
      <c r="F209" s="14"/>
      <c r="G209" s="11">
        <f t="shared" si="30"/>
        <v>0</v>
      </c>
      <c r="H209" s="50" t="e">
        <f t="shared" si="31"/>
        <v>#DIV/0!</v>
      </c>
    </row>
    <row r="210" spans="1:15" s="4" customFormat="1" ht="24.75" customHeight="1">
      <c r="A210" s="32"/>
      <c r="B210" s="54" t="s">
        <v>242</v>
      </c>
      <c r="C210" s="55">
        <v>1030</v>
      </c>
      <c r="D210" s="10"/>
      <c r="E210" s="10"/>
      <c r="F210" s="10">
        <f>F211</f>
        <v>5</v>
      </c>
      <c r="G210" s="15">
        <f t="shared" si="30"/>
        <v>5</v>
      </c>
      <c r="H210" s="167" t="e">
        <f t="shared" si="31"/>
        <v>#DIV/0!</v>
      </c>
      <c r="J210" s="80"/>
      <c r="O210" s="73"/>
    </row>
    <row r="211" spans="1:15" s="77" customFormat="1" ht="24.75" customHeight="1">
      <c r="A211" s="62"/>
      <c r="B211" s="53" t="s">
        <v>242</v>
      </c>
      <c r="C211" s="35">
        <v>1035</v>
      </c>
      <c r="D211" s="36"/>
      <c r="E211" s="36"/>
      <c r="F211" s="36">
        <f>F212</f>
        <v>5</v>
      </c>
      <c r="G211" s="37">
        <f t="shared" si="30"/>
        <v>5</v>
      </c>
      <c r="H211" s="164" t="e">
        <f t="shared" si="31"/>
        <v>#DIV/0!</v>
      </c>
      <c r="J211" s="81"/>
      <c r="O211" s="79"/>
    </row>
    <row r="212" spans="1:15" ht="24.75" customHeight="1">
      <c r="A212" s="32"/>
      <c r="B212" s="13" t="s">
        <v>225</v>
      </c>
      <c r="C212" s="8"/>
      <c r="D212" s="14"/>
      <c r="E212" s="14"/>
      <c r="F212" s="14">
        <f>5</f>
        <v>5</v>
      </c>
      <c r="G212" s="11">
        <f t="shared" si="30"/>
        <v>5</v>
      </c>
      <c r="H212" s="50" t="e">
        <f t="shared" si="31"/>
        <v>#DIV/0!</v>
      </c>
    </row>
    <row r="213" spans="1:15" ht="32.25" customHeight="1">
      <c r="A213" s="32" t="s">
        <v>181</v>
      </c>
      <c r="B213" s="51" t="s">
        <v>200</v>
      </c>
      <c r="C213" s="156"/>
      <c r="D213" s="10">
        <f>D215+D229+D239</f>
        <v>436.49999999999994</v>
      </c>
      <c r="E213" s="10">
        <f>E215+E229</f>
        <v>0</v>
      </c>
      <c r="F213" s="10">
        <f>F215+F229+F239</f>
        <v>291.79999999999995</v>
      </c>
      <c r="G213" s="15">
        <f t="shared" si="30"/>
        <v>291.79999999999995</v>
      </c>
      <c r="H213" s="167" t="e">
        <f t="shared" si="31"/>
        <v>#DIV/0!</v>
      </c>
      <c r="I213" s="16"/>
    </row>
    <row r="214" spans="1:15" ht="27" customHeight="1">
      <c r="A214" s="32"/>
      <c r="B214" s="58" t="s">
        <v>86</v>
      </c>
      <c r="C214" s="156"/>
      <c r="D214" s="14"/>
      <c r="E214" s="14"/>
      <c r="F214" s="14"/>
      <c r="G214" s="11"/>
      <c r="H214" s="11"/>
    </row>
    <row r="215" spans="1:15" ht="24.75" customHeight="1">
      <c r="A215" s="32" t="s">
        <v>518</v>
      </c>
      <c r="B215" s="157" t="s">
        <v>90</v>
      </c>
      <c r="C215" s="156">
        <v>1010</v>
      </c>
      <c r="D215" s="10">
        <f>D216+D220+D221</f>
        <v>255.79999999999995</v>
      </c>
      <c r="E215" s="10">
        <f>E216+E220+E221</f>
        <v>0</v>
      </c>
      <c r="F215" s="10">
        <f>F216+F220+F221</f>
        <v>63.399999999999991</v>
      </c>
      <c r="G215" s="15">
        <f t="shared" si="30"/>
        <v>63.399999999999991</v>
      </c>
      <c r="H215" s="167" t="e">
        <f t="shared" si="31"/>
        <v>#DIV/0!</v>
      </c>
    </row>
    <row r="216" spans="1:15" ht="27.75" customHeight="1">
      <c r="A216" s="62" t="s">
        <v>519</v>
      </c>
      <c r="B216" s="53" t="s">
        <v>106</v>
      </c>
      <c r="C216" s="35">
        <v>1011</v>
      </c>
      <c r="D216" s="36">
        <f>SUM(D217:D219)</f>
        <v>183.29999999999998</v>
      </c>
      <c r="E216" s="36">
        <f>SUM(E218:E219)</f>
        <v>0</v>
      </c>
      <c r="F216" s="36">
        <f>SUM(F218:F219)</f>
        <v>10.599999999999998</v>
      </c>
      <c r="G216" s="37">
        <f t="shared" si="30"/>
        <v>10.599999999999998</v>
      </c>
      <c r="H216" s="164" t="e">
        <f t="shared" si="31"/>
        <v>#DIV/0!</v>
      </c>
    </row>
    <row r="217" spans="1:15" ht="27.75" customHeight="1">
      <c r="A217" s="64"/>
      <c r="B217" s="17" t="s">
        <v>173</v>
      </c>
      <c r="C217" s="39"/>
      <c r="D217" s="14">
        <v>0.7</v>
      </c>
      <c r="E217" s="14"/>
      <c r="F217" s="14"/>
      <c r="G217" s="11">
        <f t="shared" si="30"/>
        <v>0</v>
      </c>
      <c r="H217" s="50" t="e">
        <f t="shared" si="31"/>
        <v>#DIV/0!</v>
      </c>
      <c r="J217" s="140"/>
      <c r="K217" s="1"/>
    </row>
    <row r="218" spans="1:15" ht="39.75" customHeight="1">
      <c r="A218" s="64"/>
      <c r="B218" s="13" t="s">
        <v>193</v>
      </c>
      <c r="C218" s="55"/>
      <c r="D218" s="14">
        <v>3</v>
      </c>
      <c r="E218" s="14"/>
      <c r="F218" s="14">
        <v>2.2999999999999998</v>
      </c>
      <c r="G218" s="11">
        <f t="shared" si="30"/>
        <v>2.2999999999999998</v>
      </c>
      <c r="H218" s="50" t="e">
        <f t="shared" si="31"/>
        <v>#DIV/0!</v>
      </c>
    </row>
    <row r="219" spans="1:15" ht="24.75" customHeight="1">
      <c r="A219" s="64"/>
      <c r="B219" s="13" t="s">
        <v>199</v>
      </c>
      <c r="C219" s="55"/>
      <c r="D219" s="14">
        <v>179.6</v>
      </c>
      <c r="E219" s="14"/>
      <c r="F219" s="14">
        <f>21.9-13.6</f>
        <v>8.2999999999999989</v>
      </c>
      <c r="G219" s="11">
        <f t="shared" si="30"/>
        <v>8.2999999999999989</v>
      </c>
      <c r="H219" s="50" t="e">
        <f t="shared" si="31"/>
        <v>#DIV/0!</v>
      </c>
    </row>
    <row r="220" spans="1:15" ht="24.75" customHeight="1">
      <c r="A220" s="62" t="s">
        <v>519</v>
      </c>
      <c r="B220" s="53" t="s">
        <v>4</v>
      </c>
      <c r="C220" s="60">
        <v>1014</v>
      </c>
      <c r="D220" s="36">
        <v>11.7</v>
      </c>
      <c r="E220" s="36"/>
      <c r="F220" s="36">
        <v>11.7</v>
      </c>
      <c r="G220" s="37">
        <f t="shared" si="30"/>
        <v>11.7</v>
      </c>
      <c r="H220" s="164" t="e">
        <f t="shared" si="31"/>
        <v>#DIV/0!</v>
      </c>
    </row>
    <row r="221" spans="1:15" ht="24.75" customHeight="1">
      <c r="A221" s="62" t="s">
        <v>520</v>
      </c>
      <c r="B221" s="63" t="s">
        <v>97</v>
      </c>
      <c r="C221" s="60">
        <v>1015</v>
      </c>
      <c r="D221" s="36">
        <f>SUM(D222:D228)</f>
        <v>60.8</v>
      </c>
      <c r="E221" s="36">
        <f>SUM(E222:E228)</f>
        <v>0</v>
      </c>
      <c r="F221" s="36">
        <f>SUM(F222:F228)</f>
        <v>41.099999999999994</v>
      </c>
      <c r="G221" s="37">
        <f t="shared" si="30"/>
        <v>41.099999999999994</v>
      </c>
      <c r="H221" s="164" t="e">
        <f t="shared" si="31"/>
        <v>#DIV/0!</v>
      </c>
      <c r="I221" s="16"/>
    </row>
    <row r="222" spans="1:15" ht="24.75" customHeight="1">
      <c r="A222" s="32"/>
      <c r="B222" s="13" t="s">
        <v>151</v>
      </c>
      <c r="C222" s="55"/>
      <c r="D222" s="14">
        <v>6.4</v>
      </c>
      <c r="E222" s="14"/>
      <c r="F222" s="14">
        <f>22.4+5</f>
        <v>27.4</v>
      </c>
      <c r="G222" s="11">
        <f t="shared" si="30"/>
        <v>27.4</v>
      </c>
      <c r="H222" s="50" t="e">
        <f t="shared" si="31"/>
        <v>#DIV/0!</v>
      </c>
    </row>
    <row r="223" spans="1:15" ht="24.75" customHeight="1">
      <c r="A223" s="32"/>
      <c r="B223" s="13" t="s">
        <v>163</v>
      </c>
      <c r="C223" s="55"/>
      <c r="D223" s="14">
        <v>11.7</v>
      </c>
      <c r="E223" s="14"/>
      <c r="F223" s="14">
        <v>1</v>
      </c>
      <c r="G223" s="11">
        <f t="shared" si="30"/>
        <v>1</v>
      </c>
      <c r="H223" s="50" t="e">
        <f t="shared" si="31"/>
        <v>#DIV/0!</v>
      </c>
    </row>
    <row r="224" spans="1:15" ht="24.75" customHeight="1">
      <c r="A224" s="32"/>
      <c r="B224" s="13" t="s">
        <v>174</v>
      </c>
      <c r="C224" s="55"/>
      <c r="D224" s="14">
        <v>6.4</v>
      </c>
      <c r="E224" s="14"/>
      <c r="F224" s="14"/>
      <c r="G224" s="11">
        <f t="shared" si="30"/>
        <v>0</v>
      </c>
      <c r="H224" s="50" t="e">
        <f t="shared" si="31"/>
        <v>#DIV/0!</v>
      </c>
    </row>
    <row r="225" spans="1:8" ht="24.75" customHeight="1">
      <c r="A225" s="32"/>
      <c r="B225" s="13" t="s">
        <v>311</v>
      </c>
      <c r="C225" s="55"/>
      <c r="D225" s="14">
        <v>0.3</v>
      </c>
      <c r="E225" s="14"/>
      <c r="F225" s="14"/>
      <c r="G225" s="11">
        <f t="shared" si="30"/>
        <v>0</v>
      </c>
      <c r="H225" s="50" t="e">
        <f t="shared" si="31"/>
        <v>#DIV/0!</v>
      </c>
    </row>
    <row r="226" spans="1:8" ht="24.75" customHeight="1">
      <c r="A226" s="32"/>
      <c r="B226" s="13" t="s">
        <v>161</v>
      </c>
      <c r="C226" s="55"/>
      <c r="D226" s="14">
        <v>2.8</v>
      </c>
      <c r="E226" s="14"/>
      <c r="F226" s="14"/>
      <c r="G226" s="11">
        <f t="shared" si="30"/>
        <v>0</v>
      </c>
      <c r="H226" s="50" t="e">
        <f t="shared" si="31"/>
        <v>#DIV/0!</v>
      </c>
    </row>
    <row r="227" spans="1:8" ht="24.75" customHeight="1">
      <c r="A227" s="32"/>
      <c r="B227" s="13" t="s">
        <v>254</v>
      </c>
      <c r="C227" s="55"/>
      <c r="D227" s="14">
        <v>11.2</v>
      </c>
      <c r="E227" s="14"/>
      <c r="F227" s="14">
        <f>12.7</f>
        <v>12.7</v>
      </c>
      <c r="G227" s="11">
        <f t="shared" si="30"/>
        <v>12.7</v>
      </c>
      <c r="H227" s="50" t="e">
        <f t="shared" si="31"/>
        <v>#DIV/0!</v>
      </c>
    </row>
    <row r="228" spans="1:8" ht="24.75" customHeight="1">
      <c r="A228" s="32"/>
      <c r="B228" s="13" t="s">
        <v>206</v>
      </c>
      <c r="C228" s="55"/>
      <c r="D228" s="14">
        <v>22</v>
      </c>
      <c r="E228" s="14"/>
      <c r="F228" s="14"/>
      <c r="G228" s="11">
        <f t="shared" si="30"/>
        <v>0</v>
      </c>
      <c r="H228" s="50" t="e">
        <f t="shared" si="31"/>
        <v>#DIV/0!</v>
      </c>
    </row>
    <row r="229" spans="1:8" ht="29.25" customHeight="1">
      <c r="A229" s="32" t="s">
        <v>521</v>
      </c>
      <c r="B229" s="157" t="s">
        <v>92</v>
      </c>
      <c r="C229" s="156">
        <v>1020</v>
      </c>
      <c r="D229" s="10">
        <f>D230</f>
        <v>115.89999999999999</v>
      </c>
      <c r="E229" s="10">
        <f>E230</f>
        <v>0</v>
      </c>
      <c r="F229" s="10">
        <f>F230</f>
        <v>164.7</v>
      </c>
      <c r="G229" s="15">
        <f t="shared" si="30"/>
        <v>164.7</v>
      </c>
      <c r="H229" s="167" t="e">
        <f t="shared" si="31"/>
        <v>#DIV/0!</v>
      </c>
    </row>
    <row r="230" spans="1:8" ht="24.75" customHeight="1">
      <c r="A230" s="62" t="s">
        <v>522</v>
      </c>
      <c r="B230" s="53" t="s">
        <v>172</v>
      </c>
      <c r="C230" s="35">
        <v>1025</v>
      </c>
      <c r="D230" s="36">
        <f>SUM(D231:D238)</f>
        <v>115.89999999999999</v>
      </c>
      <c r="E230" s="36">
        <f>SUM(E231:E238)</f>
        <v>0</v>
      </c>
      <c r="F230" s="36">
        <f>SUM(F231:F238)</f>
        <v>164.7</v>
      </c>
      <c r="G230" s="37">
        <f t="shared" si="30"/>
        <v>164.7</v>
      </c>
      <c r="H230" s="164" t="e">
        <f t="shared" si="31"/>
        <v>#DIV/0!</v>
      </c>
    </row>
    <row r="231" spans="1:8" ht="24.75" customHeight="1">
      <c r="A231" s="32"/>
      <c r="B231" s="13" t="s">
        <v>165</v>
      </c>
      <c r="C231" s="39"/>
      <c r="D231" s="14">
        <v>44</v>
      </c>
      <c r="E231" s="14"/>
      <c r="F231" s="14">
        <f>39.8+6.5+12.4</f>
        <v>58.699999999999996</v>
      </c>
      <c r="G231" s="11">
        <f t="shared" si="30"/>
        <v>58.699999999999996</v>
      </c>
      <c r="H231" s="50" t="e">
        <f t="shared" si="31"/>
        <v>#DIV/0!</v>
      </c>
    </row>
    <row r="232" spans="1:8" ht="28.5" customHeight="1">
      <c r="A232" s="32"/>
      <c r="B232" s="13" t="s">
        <v>151</v>
      </c>
      <c r="C232" s="39"/>
      <c r="D232" s="14">
        <v>2.1</v>
      </c>
      <c r="E232" s="14"/>
      <c r="F232" s="14"/>
      <c r="G232" s="11">
        <f t="shared" si="30"/>
        <v>0</v>
      </c>
      <c r="H232" s="50" t="e">
        <f t="shared" si="31"/>
        <v>#DIV/0!</v>
      </c>
    </row>
    <row r="233" spans="1:8" ht="27.75" customHeight="1">
      <c r="A233" s="32"/>
      <c r="B233" s="13" t="s">
        <v>166</v>
      </c>
      <c r="C233" s="39"/>
      <c r="D233" s="14">
        <v>4.5999999999999996</v>
      </c>
      <c r="E233" s="14"/>
      <c r="F233" s="14">
        <v>1.5</v>
      </c>
      <c r="G233" s="11">
        <f t="shared" si="30"/>
        <v>1.5</v>
      </c>
      <c r="H233" s="50" t="e">
        <f t="shared" si="31"/>
        <v>#DIV/0!</v>
      </c>
    </row>
    <row r="234" spans="1:8" ht="24" customHeight="1">
      <c r="A234" s="32"/>
      <c r="B234" s="13" t="s">
        <v>185</v>
      </c>
      <c r="C234" s="39"/>
      <c r="D234" s="14">
        <v>1.3</v>
      </c>
      <c r="E234" s="14"/>
      <c r="F234" s="14">
        <v>1.4</v>
      </c>
      <c r="G234" s="11">
        <f t="shared" si="30"/>
        <v>1.4</v>
      </c>
      <c r="H234" s="50" t="e">
        <f t="shared" si="31"/>
        <v>#DIV/0!</v>
      </c>
    </row>
    <row r="235" spans="1:8" ht="28.5" customHeight="1">
      <c r="A235" s="32"/>
      <c r="B235" s="13" t="s">
        <v>244</v>
      </c>
      <c r="C235" s="39"/>
      <c r="D235" s="14">
        <v>10.5</v>
      </c>
      <c r="E235" s="14"/>
      <c r="F235" s="14"/>
      <c r="G235" s="11">
        <f t="shared" si="30"/>
        <v>0</v>
      </c>
      <c r="H235" s="50" t="e">
        <f t="shared" si="31"/>
        <v>#DIV/0!</v>
      </c>
    </row>
    <row r="236" spans="1:8" ht="27" customHeight="1">
      <c r="A236" s="32"/>
      <c r="B236" s="13" t="s">
        <v>163</v>
      </c>
      <c r="C236" s="39"/>
      <c r="D236" s="14">
        <v>3.6</v>
      </c>
      <c r="E236" s="14"/>
      <c r="F236" s="14"/>
      <c r="G236" s="11">
        <f t="shared" si="30"/>
        <v>0</v>
      </c>
      <c r="H236" s="50" t="e">
        <f t="shared" si="31"/>
        <v>#DIV/0!</v>
      </c>
    </row>
    <row r="237" spans="1:8" ht="27" customHeight="1">
      <c r="A237" s="32"/>
      <c r="B237" s="13" t="s">
        <v>240</v>
      </c>
      <c r="C237" s="55"/>
      <c r="D237" s="14">
        <v>21.1</v>
      </c>
      <c r="E237" s="14"/>
      <c r="F237" s="14">
        <f>20.5+6.2</f>
        <v>26.7</v>
      </c>
      <c r="G237" s="11">
        <f t="shared" si="30"/>
        <v>26.7</v>
      </c>
      <c r="H237" s="50" t="e">
        <f t="shared" si="31"/>
        <v>#DIV/0!</v>
      </c>
    </row>
    <row r="238" spans="1:8" ht="26.25" customHeight="1">
      <c r="A238" s="32"/>
      <c r="B238" s="13" t="s">
        <v>156</v>
      </c>
      <c r="C238" s="39"/>
      <c r="D238" s="14">
        <v>28.7</v>
      </c>
      <c r="E238" s="14"/>
      <c r="F238" s="14">
        <f>47.8+28.6</f>
        <v>76.400000000000006</v>
      </c>
      <c r="G238" s="11">
        <f t="shared" si="30"/>
        <v>76.400000000000006</v>
      </c>
      <c r="H238" s="50" t="e">
        <f t="shared" si="31"/>
        <v>#DIV/0!</v>
      </c>
    </row>
    <row r="239" spans="1:8" ht="26.25" customHeight="1">
      <c r="A239" s="32" t="s">
        <v>523</v>
      </c>
      <c r="B239" s="51" t="s">
        <v>236</v>
      </c>
      <c r="C239" s="55">
        <v>1030</v>
      </c>
      <c r="D239" s="10">
        <f>D240</f>
        <v>64.8</v>
      </c>
      <c r="E239" s="14"/>
      <c r="F239" s="10">
        <f>F240</f>
        <v>63.7</v>
      </c>
      <c r="G239" s="15">
        <f t="shared" si="30"/>
        <v>63.7</v>
      </c>
      <c r="H239" s="167" t="e">
        <f t="shared" si="31"/>
        <v>#DIV/0!</v>
      </c>
    </row>
    <row r="240" spans="1:8" ht="26.25" customHeight="1">
      <c r="A240" s="62" t="s">
        <v>524</v>
      </c>
      <c r="B240" s="34" t="s">
        <v>236</v>
      </c>
      <c r="C240" s="35">
        <v>1035</v>
      </c>
      <c r="D240" s="36">
        <f>SUM(D241:D241)</f>
        <v>64.8</v>
      </c>
      <c r="E240" s="44"/>
      <c r="F240" s="36">
        <f>F241</f>
        <v>63.7</v>
      </c>
      <c r="G240" s="37">
        <f t="shared" si="30"/>
        <v>63.7</v>
      </c>
      <c r="H240" s="164" t="e">
        <f t="shared" si="31"/>
        <v>#DIV/0!</v>
      </c>
    </row>
    <row r="241" spans="1:15" ht="27.75" customHeight="1">
      <c r="A241" s="32"/>
      <c r="B241" s="13" t="s">
        <v>197</v>
      </c>
      <c r="C241" s="39"/>
      <c r="D241" s="14">
        <v>64.8</v>
      </c>
      <c r="E241" s="14"/>
      <c r="F241" s="14">
        <v>63.7</v>
      </c>
      <c r="G241" s="11">
        <f t="shared" si="30"/>
        <v>63.7</v>
      </c>
      <c r="H241" s="50" t="e">
        <f t="shared" si="31"/>
        <v>#DIV/0!</v>
      </c>
    </row>
    <row r="242" spans="1:15" ht="30" customHeight="1">
      <c r="A242" s="32" t="s">
        <v>238</v>
      </c>
      <c r="B242" s="181" t="s">
        <v>201</v>
      </c>
      <c r="C242" s="55"/>
      <c r="D242" s="10">
        <f>D244+D247</f>
        <v>6057.6</v>
      </c>
      <c r="E242" s="10">
        <f>E244+E247</f>
        <v>8250</v>
      </c>
      <c r="F242" s="10">
        <f>F244+F247</f>
        <v>7909.6</v>
      </c>
      <c r="G242" s="15">
        <f t="shared" si="30"/>
        <v>-340.39999999999964</v>
      </c>
      <c r="H242" s="15">
        <f t="shared" si="31"/>
        <v>95.873939393939395</v>
      </c>
    </row>
    <row r="243" spans="1:15" ht="27.75" customHeight="1">
      <c r="A243" s="32"/>
      <c r="B243" s="31" t="s">
        <v>86</v>
      </c>
      <c r="C243" s="55"/>
      <c r="D243" s="14"/>
      <c r="E243" s="14"/>
      <c r="F243" s="14"/>
      <c r="G243" s="11"/>
      <c r="H243" s="11"/>
    </row>
    <row r="244" spans="1:15" ht="27.75" customHeight="1">
      <c r="A244" s="32" t="s">
        <v>525</v>
      </c>
      <c r="B244" s="181" t="s">
        <v>90</v>
      </c>
      <c r="C244" s="55">
        <v>1010</v>
      </c>
      <c r="D244" s="10">
        <f t="shared" ref="D244:F245" si="32">D245</f>
        <v>4677.2</v>
      </c>
      <c r="E244" s="10">
        <f t="shared" si="32"/>
        <v>6822</v>
      </c>
      <c r="F244" s="10">
        <f t="shared" si="32"/>
        <v>4499.4000000000005</v>
      </c>
      <c r="G244" s="15">
        <f t="shared" si="30"/>
        <v>-2322.5999999999995</v>
      </c>
      <c r="H244" s="15">
        <f t="shared" si="31"/>
        <v>65.954265611257696</v>
      </c>
      <c r="I244" s="90"/>
      <c r="K244" s="21"/>
    </row>
    <row r="245" spans="1:15" ht="27.75" customHeight="1">
      <c r="A245" s="62" t="s">
        <v>526</v>
      </c>
      <c r="B245" s="63" t="s">
        <v>4</v>
      </c>
      <c r="C245" s="35">
        <v>1014</v>
      </c>
      <c r="D245" s="36">
        <f t="shared" si="32"/>
        <v>4677.2</v>
      </c>
      <c r="E245" s="36">
        <f t="shared" si="32"/>
        <v>6822</v>
      </c>
      <c r="F245" s="36">
        <f t="shared" si="32"/>
        <v>4499.4000000000005</v>
      </c>
      <c r="G245" s="37">
        <f t="shared" si="30"/>
        <v>-2322.5999999999995</v>
      </c>
      <c r="H245" s="37">
        <f t="shared" si="31"/>
        <v>65.954265611257696</v>
      </c>
    </row>
    <row r="246" spans="1:15" ht="24.75" customHeight="1">
      <c r="A246" s="32"/>
      <c r="B246" s="70" t="s">
        <v>202</v>
      </c>
      <c r="C246" s="55"/>
      <c r="D246" s="14">
        <v>4677.2</v>
      </c>
      <c r="E246" s="14">
        <v>6822</v>
      </c>
      <c r="F246" s="14">
        <f>7909.6-3410.2</f>
        <v>4499.4000000000005</v>
      </c>
      <c r="G246" s="11">
        <f t="shared" si="30"/>
        <v>-2322.5999999999995</v>
      </c>
      <c r="H246" s="11">
        <f t="shared" si="31"/>
        <v>65.954265611257696</v>
      </c>
      <c r="I246" s="16"/>
    </row>
    <row r="247" spans="1:15" ht="27.75" customHeight="1">
      <c r="A247" s="32" t="s">
        <v>527</v>
      </c>
      <c r="B247" s="181" t="s">
        <v>92</v>
      </c>
      <c r="C247" s="55">
        <v>1020</v>
      </c>
      <c r="D247" s="10">
        <f t="shared" ref="D247:F248" si="33">D248</f>
        <v>1380.4</v>
      </c>
      <c r="E247" s="10">
        <f t="shared" si="33"/>
        <v>1428</v>
      </c>
      <c r="F247" s="10">
        <f t="shared" si="33"/>
        <v>3410.2</v>
      </c>
      <c r="G247" s="15">
        <f t="shared" si="30"/>
        <v>1982.1999999999998</v>
      </c>
      <c r="H247" s="15">
        <f t="shared" si="31"/>
        <v>238.8095238095238</v>
      </c>
    </row>
    <row r="248" spans="1:15" ht="27.75" customHeight="1">
      <c r="A248" s="62" t="s">
        <v>528</v>
      </c>
      <c r="B248" s="63" t="s">
        <v>4</v>
      </c>
      <c r="C248" s="35">
        <v>1024</v>
      </c>
      <c r="D248" s="36">
        <f t="shared" si="33"/>
        <v>1380.4</v>
      </c>
      <c r="E248" s="36">
        <f t="shared" si="33"/>
        <v>1428</v>
      </c>
      <c r="F248" s="36">
        <f t="shared" si="33"/>
        <v>3410.2</v>
      </c>
      <c r="G248" s="37">
        <f t="shared" si="30"/>
        <v>1982.1999999999998</v>
      </c>
      <c r="H248" s="37">
        <f t="shared" si="31"/>
        <v>238.8095238095238</v>
      </c>
    </row>
    <row r="249" spans="1:15" ht="27.75" customHeight="1">
      <c r="A249" s="19"/>
      <c r="B249" s="70" t="s">
        <v>227</v>
      </c>
      <c r="C249" s="3"/>
      <c r="D249" s="71">
        <v>1380.4</v>
      </c>
      <c r="E249" s="71">
        <v>1428</v>
      </c>
      <c r="F249" s="71">
        <v>3410.2</v>
      </c>
      <c r="G249" s="19">
        <f t="shared" si="30"/>
        <v>1982.1999999999998</v>
      </c>
      <c r="H249" s="74">
        <f t="shared" si="31"/>
        <v>238.8095238095238</v>
      </c>
    </row>
    <row r="250" spans="1:15" ht="46.5" customHeight="1">
      <c r="B250" s="72" t="s">
        <v>211</v>
      </c>
      <c r="C250" s="23"/>
      <c r="D250" s="209"/>
      <c r="E250" s="209"/>
      <c r="F250" s="202" t="s">
        <v>186</v>
      </c>
      <c r="G250" s="202"/>
      <c r="H250" s="202"/>
    </row>
    <row r="251" spans="1:15" ht="34.5" customHeight="1">
      <c r="B251" s="178"/>
      <c r="C251" s="1"/>
      <c r="D251" s="206" t="s">
        <v>66</v>
      </c>
      <c r="E251" s="206"/>
      <c r="F251" s="203" t="s">
        <v>17</v>
      </c>
      <c r="G251" s="203"/>
      <c r="H251" s="203"/>
    </row>
    <row r="252" spans="1:15" ht="29.25" customHeight="1">
      <c r="B252" s="6"/>
      <c r="D252" s="86"/>
      <c r="E252" s="5"/>
      <c r="F252" s="5"/>
    </row>
    <row r="253" spans="1:15" ht="35.25" customHeight="1">
      <c r="B253" s="6"/>
      <c r="D253" s="86"/>
      <c r="E253" s="5"/>
      <c r="F253" s="5"/>
    </row>
    <row r="254" spans="1:15" ht="35.25" customHeight="1">
      <c r="B254" s="6"/>
      <c r="D254" s="86"/>
      <c r="E254" s="5"/>
      <c r="F254" s="5"/>
    </row>
    <row r="255" spans="1:15" s="4" customFormat="1" ht="39" customHeight="1">
      <c r="A255" s="1"/>
      <c r="B255" s="6"/>
      <c r="C255" s="178"/>
      <c r="D255" s="86"/>
      <c r="E255" s="5"/>
      <c r="F255" s="5"/>
      <c r="G255" s="1"/>
      <c r="H255" s="1"/>
      <c r="J255" s="80"/>
      <c r="O255" s="73"/>
    </row>
    <row r="256" spans="1:15" s="4" customFormat="1" ht="32.25" customHeight="1">
      <c r="A256" s="1"/>
      <c r="B256" s="6"/>
      <c r="C256" s="178"/>
      <c r="D256" s="86"/>
      <c r="E256" s="5"/>
      <c r="F256" s="5"/>
      <c r="G256" s="1"/>
      <c r="H256" s="1"/>
      <c r="J256" s="80"/>
      <c r="O256" s="73"/>
    </row>
    <row r="257" spans="1:15" s="4" customFormat="1" ht="31.5" customHeight="1">
      <c r="A257" s="1"/>
      <c r="B257" s="6"/>
      <c r="C257" s="178"/>
      <c r="D257" s="86"/>
      <c r="E257" s="5"/>
      <c r="F257" s="5"/>
      <c r="G257" s="1"/>
      <c r="H257" s="1"/>
      <c r="J257" s="80"/>
      <c r="O257" s="73"/>
    </row>
    <row r="258" spans="1:15" s="4" customFormat="1" ht="31.5" customHeight="1">
      <c r="A258" s="1"/>
      <c r="B258" s="6"/>
      <c r="C258" s="178"/>
      <c r="D258" s="86"/>
      <c r="E258" s="5"/>
      <c r="F258" s="5"/>
      <c r="G258" s="1"/>
      <c r="H258" s="1"/>
      <c r="J258" s="80"/>
      <c r="O258" s="73"/>
    </row>
    <row r="259" spans="1:15" s="4" customFormat="1" ht="29.25" customHeight="1">
      <c r="A259" s="1"/>
      <c r="B259" s="6"/>
      <c r="C259" s="178"/>
      <c r="D259" s="86"/>
      <c r="E259" s="5"/>
      <c r="F259" s="5"/>
      <c r="G259" s="1"/>
      <c r="H259" s="1"/>
      <c r="J259" s="80"/>
      <c r="O259" s="73"/>
    </row>
    <row r="260" spans="1:15" s="4" customFormat="1" ht="35.25" customHeight="1">
      <c r="A260" s="1"/>
      <c r="B260" s="6"/>
      <c r="C260" s="178"/>
      <c r="D260" s="86"/>
      <c r="E260" s="5"/>
      <c r="F260" s="5"/>
      <c r="G260" s="1"/>
      <c r="H260" s="1"/>
      <c r="J260" s="80"/>
      <c r="O260" s="73"/>
    </row>
    <row r="261" spans="1:15" s="4" customFormat="1" ht="41.25" customHeight="1">
      <c r="A261" s="1"/>
      <c r="B261" s="6"/>
      <c r="C261" s="178"/>
      <c r="D261" s="86"/>
      <c r="E261" s="5"/>
      <c r="F261" s="5"/>
      <c r="G261" s="1"/>
      <c r="H261" s="1"/>
      <c r="J261" s="80"/>
      <c r="O261" s="73"/>
    </row>
    <row r="262" spans="1:15" s="4" customFormat="1" ht="35.25" customHeight="1">
      <c r="A262" s="1"/>
      <c r="B262" s="6"/>
      <c r="C262" s="178"/>
      <c r="D262" s="86"/>
      <c r="E262" s="5"/>
      <c r="F262" s="5"/>
      <c r="G262" s="1"/>
      <c r="H262" s="1"/>
      <c r="J262" s="80"/>
      <c r="O262" s="73"/>
    </row>
    <row r="263" spans="1:15" s="4" customFormat="1" ht="41.25" customHeight="1">
      <c r="A263" s="1"/>
      <c r="B263" s="6"/>
      <c r="C263" s="178"/>
      <c r="D263" s="86"/>
      <c r="E263" s="5"/>
      <c r="F263" s="5"/>
      <c r="G263" s="1"/>
      <c r="H263" s="1"/>
      <c r="J263" s="80"/>
      <c r="O263" s="73"/>
    </row>
    <row r="264" spans="1:15" s="4" customFormat="1" ht="37.5" customHeight="1">
      <c r="A264" s="1"/>
      <c r="B264" s="6"/>
      <c r="C264" s="178"/>
      <c r="D264" s="86"/>
      <c r="E264" s="5"/>
      <c r="F264" s="5"/>
      <c r="G264" s="1"/>
      <c r="H264" s="1"/>
      <c r="J264" s="80"/>
      <c r="O264" s="73"/>
    </row>
    <row r="265" spans="1:15" s="4" customFormat="1" ht="37.5" customHeight="1">
      <c r="A265" s="1"/>
      <c r="B265" s="6"/>
      <c r="C265" s="178"/>
      <c r="D265" s="86"/>
      <c r="E265" s="5"/>
      <c r="F265" s="5"/>
      <c r="G265" s="1"/>
      <c r="H265" s="1"/>
      <c r="J265" s="80"/>
      <c r="O265" s="73"/>
    </row>
    <row r="266" spans="1:15" s="4" customFormat="1" ht="39" customHeight="1">
      <c r="A266" s="1"/>
      <c r="B266" s="6"/>
      <c r="C266" s="178"/>
      <c r="D266" s="86"/>
      <c r="E266" s="5"/>
      <c r="F266" s="5"/>
      <c r="G266" s="1"/>
      <c r="H266" s="1"/>
      <c r="J266" s="80"/>
      <c r="O266" s="73"/>
    </row>
    <row r="267" spans="1:15" s="4" customFormat="1" ht="35.25" customHeight="1">
      <c r="A267" s="1"/>
      <c r="B267" s="6"/>
      <c r="C267" s="178"/>
      <c r="D267" s="86"/>
      <c r="E267" s="5"/>
      <c r="F267" s="5"/>
      <c r="G267" s="1"/>
      <c r="H267" s="1"/>
      <c r="J267" s="80"/>
      <c r="O267" s="73"/>
    </row>
    <row r="268" spans="1:15" s="4" customFormat="1" ht="37.5" customHeight="1">
      <c r="A268" s="1"/>
      <c r="B268" s="6"/>
      <c r="C268" s="178"/>
      <c r="D268" s="86"/>
      <c r="E268" s="5"/>
      <c r="F268" s="5"/>
      <c r="G268" s="1"/>
      <c r="H268" s="1"/>
      <c r="J268" s="80"/>
      <c r="O268" s="73"/>
    </row>
    <row r="269" spans="1:15" s="4" customFormat="1" ht="31.5" customHeight="1">
      <c r="A269" s="1"/>
      <c r="B269" s="6"/>
      <c r="C269" s="178"/>
      <c r="D269" s="86"/>
      <c r="E269" s="5"/>
      <c r="F269" s="5"/>
      <c r="G269" s="1"/>
      <c r="H269" s="1"/>
      <c r="J269" s="80"/>
      <c r="O269" s="73"/>
    </row>
    <row r="270" spans="1:15" s="4" customFormat="1" ht="31.5" customHeight="1">
      <c r="A270" s="1"/>
      <c r="B270" s="6"/>
      <c r="C270" s="178"/>
      <c r="D270" s="86"/>
      <c r="E270" s="5"/>
      <c r="F270" s="5"/>
      <c r="G270" s="1"/>
      <c r="H270" s="1"/>
      <c r="J270" s="80"/>
      <c r="O270" s="73"/>
    </row>
    <row r="271" spans="1:15">
      <c r="B271" s="6"/>
      <c r="D271" s="86"/>
      <c r="E271" s="5"/>
      <c r="F271" s="5"/>
    </row>
    <row r="272" spans="1:15" ht="24.75" customHeight="1">
      <c r="B272" s="6"/>
      <c r="D272" s="86"/>
      <c r="E272" s="5"/>
      <c r="F272" s="5"/>
    </row>
    <row r="273" spans="2:6">
      <c r="B273" s="6"/>
      <c r="D273" s="86"/>
      <c r="E273" s="5"/>
      <c r="F273" s="5"/>
    </row>
    <row r="274" spans="2:6">
      <c r="B274" s="6"/>
      <c r="D274" s="86"/>
      <c r="E274" s="5"/>
      <c r="F274" s="5"/>
    </row>
    <row r="275" spans="2:6">
      <c r="B275" s="6"/>
      <c r="D275" s="86"/>
      <c r="E275" s="5"/>
      <c r="F275" s="5"/>
    </row>
    <row r="276" spans="2:6">
      <c r="B276" s="6"/>
      <c r="D276" s="86"/>
      <c r="E276" s="5"/>
      <c r="F276" s="5"/>
    </row>
    <row r="277" spans="2:6">
      <c r="B277" s="6"/>
      <c r="D277" s="86"/>
      <c r="E277" s="5"/>
      <c r="F277" s="5"/>
    </row>
    <row r="278" spans="2:6">
      <c r="B278" s="6"/>
      <c r="D278" s="86"/>
      <c r="E278" s="5"/>
      <c r="F278" s="5"/>
    </row>
    <row r="279" spans="2:6">
      <c r="B279" s="6"/>
      <c r="D279" s="86"/>
      <c r="E279" s="5"/>
      <c r="F279" s="5"/>
    </row>
    <row r="280" spans="2:6">
      <c r="B280" s="6"/>
      <c r="D280" s="86"/>
      <c r="E280" s="5"/>
      <c r="F280" s="5"/>
    </row>
    <row r="281" spans="2:6">
      <c r="B281" s="6"/>
      <c r="D281" s="86"/>
      <c r="E281" s="5"/>
      <c r="F281" s="5"/>
    </row>
    <row r="282" spans="2:6">
      <c r="B282" s="6"/>
      <c r="D282" s="86"/>
      <c r="E282" s="5"/>
      <c r="F282" s="5"/>
    </row>
    <row r="283" spans="2:6">
      <c r="B283" s="6"/>
      <c r="D283" s="86"/>
      <c r="E283" s="5"/>
      <c r="F283" s="5"/>
    </row>
    <row r="284" spans="2:6">
      <c r="B284" s="6"/>
      <c r="D284" s="86"/>
      <c r="E284" s="5"/>
      <c r="F284" s="5"/>
    </row>
    <row r="285" spans="2:6">
      <c r="B285" s="6"/>
      <c r="D285" s="86"/>
      <c r="E285" s="5"/>
      <c r="F285" s="5"/>
    </row>
    <row r="286" spans="2:6">
      <c r="B286" s="6"/>
      <c r="D286" s="86"/>
      <c r="E286" s="5"/>
      <c r="F286" s="5"/>
    </row>
    <row r="287" spans="2:6">
      <c r="B287" s="6"/>
      <c r="D287" s="86"/>
      <c r="E287" s="5"/>
      <c r="F287" s="5"/>
    </row>
    <row r="288" spans="2:6">
      <c r="B288" s="6"/>
      <c r="D288" s="86"/>
      <c r="E288" s="5"/>
      <c r="F288" s="5"/>
    </row>
    <row r="289" spans="2:6">
      <c r="B289" s="6"/>
      <c r="D289" s="86"/>
      <c r="E289" s="5"/>
      <c r="F289" s="5"/>
    </row>
    <row r="290" spans="2:6">
      <c r="B290" s="6"/>
      <c r="D290" s="86"/>
      <c r="E290" s="5"/>
      <c r="F290" s="5"/>
    </row>
    <row r="291" spans="2:6">
      <c r="B291" s="6"/>
      <c r="D291" s="86"/>
      <c r="E291" s="5"/>
      <c r="F291" s="5"/>
    </row>
    <row r="292" spans="2:6">
      <c r="B292" s="6"/>
      <c r="D292" s="86"/>
      <c r="E292" s="5"/>
      <c r="F292" s="5"/>
    </row>
    <row r="293" spans="2:6">
      <c r="B293" s="6"/>
      <c r="D293" s="86"/>
      <c r="E293" s="5"/>
      <c r="F293" s="5"/>
    </row>
    <row r="294" spans="2:6">
      <c r="B294" s="6"/>
      <c r="D294" s="86"/>
      <c r="E294" s="5"/>
      <c r="F294" s="5"/>
    </row>
    <row r="295" spans="2:6">
      <c r="B295" s="6"/>
      <c r="D295" s="86"/>
      <c r="E295" s="5"/>
      <c r="F295" s="5"/>
    </row>
    <row r="296" spans="2:6">
      <c r="B296" s="6"/>
      <c r="D296" s="86"/>
      <c r="E296" s="5"/>
      <c r="F296" s="5"/>
    </row>
    <row r="297" spans="2:6">
      <c r="B297" s="6"/>
      <c r="D297" s="86"/>
      <c r="E297" s="5"/>
      <c r="F297" s="5"/>
    </row>
    <row r="298" spans="2:6">
      <c r="B298" s="6"/>
      <c r="D298" s="86"/>
      <c r="E298" s="5"/>
      <c r="F298" s="5"/>
    </row>
    <row r="299" spans="2:6">
      <c r="B299" s="6"/>
      <c r="D299" s="86"/>
      <c r="E299" s="5"/>
      <c r="F299" s="5"/>
    </row>
    <row r="300" spans="2:6">
      <c r="B300" s="6"/>
      <c r="D300" s="86"/>
      <c r="E300" s="5"/>
      <c r="F300" s="5"/>
    </row>
    <row r="301" spans="2:6">
      <c r="B301" s="6"/>
      <c r="D301" s="86"/>
      <c r="E301" s="5"/>
      <c r="F301" s="5"/>
    </row>
    <row r="302" spans="2:6">
      <c r="B302" s="6"/>
      <c r="D302" s="86"/>
      <c r="E302" s="5"/>
      <c r="F302" s="5"/>
    </row>
    <row r="303" spans="2:6">
      <c r="B303" s="6"/>
      <c r="D303" s="86"/>
      <c r="E303" s="5"/>
      <c r="F303" s="5"/>
    </row>
    <row r="304" spans="2:6">
      <c r="B304" s="6"/>
      <c r="D304" s="86"/>
      <c r="E304" s="5"/>
      <c r="F304" s="5"/>
    </row>
    <row r="305" spans="2:6">
      <c r="B305" s="6"/>
      <c r="D305" s="86"/>
      <c r="E305" s="5"/>
      <c r="F305" s="5"/>
    </row>
    <row r="306" spans="2:6">
      <c r="B306" s="6"/>
    </row>
    <row r="307" spans="2:6">
      <c r="B307" s="7"/>
    </row>
    <row r="308" spans="2:6">
      <c r="B308" s="7"/>
    </row>
    <row r="309" spans="2:6">
      <c r="B309" s="7"/>
    </row>
    <row r="310" spans="2:6">
      <c r="B310" s="7"/>
    </row>
    <row r="311" spans="2:6">
      <c r="B311" s="7"/>
    </row>
    <row r="312" spans="2:6">
      <c r="B312" s="7"/>
    </row>
    <row r="313" spans="2:6">
      <c r="B313" s="7"/>
    </row>
    <row r="314" spans="2:6">
      <c r="B314" s="7"/>
    </row>
    <row r="315" spans="2:6">
      <c r="B315" s="7"/>
    </row>
    <row r="316" spans="2:6">
      <c r="B316" s="7"/>
    </row>
    <row r="317" spans="2:6">
      <c r="B317" s="7"/>
    </row>
    <row r="318" spans="2:6">
      <c r="B318" s="7"/>
    </row>
    <row r="319" spans="2:6">
      <c r="B319" s="7"/>
    </row>
    <row r="320" spans="2:6">
      <c r="B320" s="7"/>
    </row>
    <row r="321" spans="2:2">
      <c r="B321" s="7"/>
    </row>
    <row r="322" spans="2:2">
      <c r="B322" s="7"/>
    </row>
    <row r="323" spans="2:2">
      <c r="B323" s="7"/>
    </row>
    <row r="324" spans="2:2">
      <c r="B324" s="7"/>
    </row>
    <row r="325" spans="2:2">
      <c r="B325" s="7"/>
    </row>
    <row r="326" spans="2:2">
      <c r="B326" s="7"/>
    </row>
    <row r="327" spans="2:2">
      <c r="B327" s="7"/>
    </row>
    <row r="328" spans="2:2">
      <c r="B328" s="7"/>
    </row>
    <row r="329" spans="2:2">
      <c r="B329" s="7"/>
    </row>
    <row r="330" spans="2:2">
      <c r="B330" s="7"/>
    </row>
    <row r="331" spans="2:2">
      <c r="B331" s="7"/>
    </row>
    <row r="332" spans="2:2">
      <c r="B332" s="7"/>
    </row>
    <row r="333" spans="2:2">
      <c r="B333" s="7"/>
    </row>
    <row r="334" spans="2:2">
      <c r="B334" s="7"/>
    </row>
    <row r="335" spans="2:2">
      <c r="B335" s="7"/>
    </row>
    <row r="336" spans="2:2">
      <c r="B336" s="7"/>
    </row>
    <row r="337" spans="2:2">
      <c r="B337" s="7"/>
    </row>
    <row r="338" spans="2:2">
      <c r="B338" s="7"/>
    </row>
    <row r="339" spans="2:2">
      <c r="B339" s="7"/>
    </row>
    <row r="340" spans="2:2">
      <c r="B340" s="7"/>
    </row>
    <row r="341" spans="2:2">
      <c r="B341" s="7"/>
    </row>
    <row r="342" spans="2:2">
      <c r="B342" s="7"/>
    </row>
    <row r="343" spans="2:2">
      <c r="B343" s="7"/>
    </row>
    <row r="344" spans="2:2">
      <c r="B344" s="7"/>
    </row>
    <row r="345" spans="2:2">
      <c r="B345" s="7"/>
    </row>
    <row r="346" spans="2:2">
      <c r="B346" s="7"/>
    </row>
    <row r="347" spans="2:2">
      <c r="B347" s="7"/>
    </row>
    <row r="348" spans="2:2">
      <c r="B348" s="7"/>
    </row>
    <row r="349" spans="2:2">
      <c r="B349" s="7"/>
    </row>
    <row r="350" spans="2:2">
      <c r="B350" s="7"/>
    </row>
    <row r="351" spans="2:2">
      <c r="B351" s="7"/>
    </row>
    <row r="352" spans="2:2">
      <c r="B352" s="7"/>
    </row>
    <row r="353" spans="2:2">
      <c r="B353" s="7"/>
    </row>
    <row r="354" spans="2:2">
      <c r="B354" s="7"/>
    </row>
    <row r="355" spans="2:2">
      <c r="B355" s="7"/>
    </row>
    <row r="356" spans="2:2">
      <c r="B356" s="7"/>
    </row>
    <row r="357" spans="2:2">
      <c r="B357" s="7"/>
    </row>
    <row r="358" spans="2:2">
      <c r="B358" s="7"/>
    </row>
    <row r="359" spans="2:2">
      <c r="B359" s="7"/>
    </row>
    <row r="360" spans="2:2">
      <c r="B360" s="7"/>
    </row>
    <row r="361" spans="2:2">
      <c r="B361" s="7"/>
    </row>
    <row r="362" spans="2:2">
      <c r="B362" s="7"/>
    </row>
    <row r="363" spans="2:2">
      <c r="B363" s="7"/>
    </row>
    <row r="364" spans="2:2">
      <c r="B364" s="7"/>
    </row>
    <row r="365" spans="2:2">
      <c r="B365" s="7"/>
    </row>
    <row r="366" spans="2:2">
      <c r="B366" s="7"/>
    </row>
    <row r="367" spans="2:2">
      <c r="B367" s="7"/>
    </row>
    <row r="368" spans="2:2">
      <c r="B368" s="7"/>
    </row>
    <row r="369" spans="2:2">
      <c r="B369" s="7"/>
    </row>
    <row r="370" spans="2:2">
      <c r="B370" s="7"/>
    </row>
    <row r="371" spans="2:2">
      <c r="B371" s="7"/>
    </row>
    <row r="372" spans="2:2">
      <c r="B372" s="7"/>
    </row>
    <row r="373" spans="2:2">
      <c r="B373" s="7"/>
    </row>
    <row r="374" spans="2:2">
      <c r="B374" s="7"/>
    </row>
    <row r="375" spans="2:2">
      <c r="B375" s="7"/>
    </row>
    <row r="376" spans="2:2">
      <c r="B376" s="7"/>
    </row>
    <row r="377" spans="2:2">
      <c r="B377" s="7"/>
    </row>
    <row r="378" spans="2:2">
      <c r="B378" s="7"/>
    </row>
    <row r="379" spans="2:2">
      <c r="B379" s="7"/>
    </row>
    <row r="380" spans="2:2">
      <c r="B380" s="7"/>
    </row>
    <row r="381" spans="2:2">
      <c r="B381" s="7"/>
    </row>
    <row r="382" spans="2:2">
      <c r="B382" s="7"/>
    </row>
    <row r="383" spans="2:2">
      <c r="B383" s="7"/>
    </row>
    <row r="384" spans="2:2">
      <c r="B384" s="7"/>
    </row>
    <row r="385" spans="2:2">
      <c r="B385" s="7"/>
    </row>
    <row r="386" spans="2:2">
      <c r="B386" s="7"/>
    </row>
    <row r="387" spans="2:2">
      <c r="B387" s="7"/>
    </row>
    <row r="388" spans="2:2">
      <c r="B388" s="7"/>
    </row>
    <row r="389" spans="2:2">
      <c r="B389" s="7"/>
    </row>
    <row r="390" spans="2:2">
      <c r="B390" s="7"/>
    </row>
    <row r="391" spans="2:2">
      <c r="B391" s="7"/>
    </row>
    <row r="392" spans="2:2">
      <c r="B392" s="7"/>
    </row>
    <row r="393" spans="2:2">
      <c r="B393" s="7"/>
    </row>
    <row r="394" spans="2:2">
      <c r="B394" s="7"/>
    </row>
    <row r="395" spans="2:2">
      <c r="B395" s="7"/>
    </row>
    <row r="396" spans="2:2">
      <c r="B396" s="7"/>
    </row>
    <row r="397" spans="2:2">
      <c r="B397" s="7"/>
    </row>
    <row r="398" spans="2:2">
      <c r="B398" s="7"/>
    </row>
    <row r="399" spans="2:2">
      <c r="B399" s="7"/>
    </row>
    <row r="400" spans="2:2">
      <c r="B400" s="7"/>
    </row>
    <row r="401" spans="2:2">
      <c r="B401" s="7"/>
    </row>
    <row r="402" spans="2:2">
      <c r="B402" s="7"/>
    </row>
    <row r="403" spans="2:2">
      <c r="B403" s="7"/>
    </row>
    <row r="404" spans="2:2">
      <c r="B404" s="7"/>
    </row>
    <row r="405" spans="2:2">
      <c r="B405" s="7"/>
    </row>
    <row r="406" spans="2:2">
      <c r="B406" s="7"/>
    </row>
    <row r="407" spans="2:2">
      <c r="B407" s="7"/>
    </row>
    <row r="408" spans="2:2">
      <c r="B408" s="7"/>
    </row>
    <row r="409" spans="2:2">
      <c r="B409" s="7"/>
    </row>
    <row r="410" spans="2:2">
      <c r="B410" s="7"/>
    </row>
    <row r="411" spans="2:2">
      <c r="B411" s="7"/>
    </row>
    <row r="412" spans="2:2">
      <c r="B412" s="7"/>
    </row>
    <row r="413" spans="2:2">
      <c r="B413" s="7"/>
    </row>
    <row r="414" spans="2:2">
      <c r="B414" s="7"/>
    </row>
    <row r="415" spans="2:2">
      <c r="B415" s="7"/>
    </row>
    <row r="416" spans="2:2">
      <c r="B416" s="7"/>
    </row>
    <row r="417" spans="2:2">
      <c r="B417" s="7"/>
    </row>
    <row r="418" spans="2:2">
      <c r="B418" s="7"/>
    </row>
    <row r="419" spans="2:2">
      <c r="B419" s="7"/>
    </row>
    <row r="420" spans="2:2">
      <c r="B420" s="7"/>
    </row>
    <row r="421" spans="2:2">
      <c r="B421" s="7"/>
    </row>
    <row r="422" spans="2:2">
      <c r="B422" s="7"/>
    </row>
    <row r="423" spans="2:2">
      <c r="B423" s="7"/>
    </row>
    <row r="424" spans="2:2">
      <c r="B424" s="7"/>
    </row>
    <row r="425" spans="2:2">
      <c r="B425" s="7"/>
    </row>
    <row r="426" spans="2:2">
      <c r="B426" s="7"/>
    </row>
    <row r="427" spans="2:2">
      <c r="B427" s="7"/>
    </row>
    <row r="428" spans="2:2">
      <c r="B428" s="7"/>
    </row>
    <row r="429" spans="2:2">
      <c r="B429" s="7"/>
    </row>
    <row r="430" spans="2:2">
      <c r="B430" s="7"/>
    </row>
    <row r="431" spans="2:2">
      <c r="B431" s="7"/>
    </row>
    <row r="432" spans="2:2">
      <c r="B432" s="7"/>
    </row>
    <row r="433" spans="2:2">
      <c r="B433" s="7"/>
    </row>
    <row r="434" spans="2:2">
      <c r="B434" s="7"/>
    </row>
    <row r="435" spans="2:2">
      <c r="B435" s="7"/>
    </row>
    <row r="436" spans="2:2">
      <c r="B436" s="7"/>
    </row>
    <row r="437" spans="2:2">
      <c r="B437" s="7"/>
    </row>
    <row r="438" spans="2:2">
      <c r="B438" s="7"/>
    </row>
    <row r="439" spans="2:2">
      <c r="B439" s="7"/>
    </row>
    <row r="440" spans="2:2">
      <c r="B440" s="7"/>
    </row>
    <row r="441" spans="2:2">
      <c r="B441" s="7"/>
    </row>
    <row r="442" spans="2:2">
      <c r="B442" s="7"/>
    </row>
    <row r="443" spans="2:2">
      <c r="B443" s="7"/>
    </row>
    <row r="444" spans="2:2">
      <c r="B444" s="7"/>
    </row>
    <row r="445" spans="2:2">
      <c r="B445" s="7"/>
    </row>
    <row r="446" spans="2:2">
      <c r="B446" s="7"/>
    </row>
    <row r="447" spans="2:2">
      <c r="B447" s="7"/>
    </row>
    <row r="448" spans="2:2">
      <c r="B448" s="7"/>
    </row>
    <row r="449" spans="2:2">
      <c r="B449" s="7"/>
    </row>
    <row r="450" spans="2:2">
      <c r="B450" s="7"/>
    </row>
    <row r="451" spans="2:2">
      <c r="B451" s="7"/>
    </row>
    <row r="452" spans="2:2">
      <c r="B452" s="7"/>
    </row>
    <row r="453" spans="2:2">
      <c r="B453" s="7"/>
    </row>
    <row r="454" spans="2:2">
      <c r="B454" s="7"/>
    </row>
    <row r="455" spans="2:2">
      <c r="B455" s="7"/>
    </row>
    <row r="456" spans="2:2">
      <c r="B456" s="7"/>
    </row>
    <row r="457" spans="2:2">
      <c r="B457" s="7"/>
    </row>
    <row r="458" spans="2:2">
      <c r="B458" s="7"/>
    </row>
    <row r="459" spans="2:2">
      <c r="B459" s="7"/>
    </row>
    <row r="460" spans="2:2">
      <c r="B460" s="7"/>
    </row>
    <row r="461" spans="2:2">
      <c r="B461" s="7"/>
    </row>
    <row r="462" spans="2:2">
      <c r="B462" s="7"/>
    </row>
    <row r="463" spans="2:2">
      <c r="B463" s="7"/>
    </row>
    <row r="464" spans="2:2">
      <c r="B464" s="7"/>
    </row>
    <row r="465" spans="2:2">
      <c r="B465" s="7"/>
    </row>
    <row r="466" spans="2:2">
      <c r="B466" s="7"/>
    </row>
    <row r="467" spans="2:2">
      <c r="B467" s="7"/>
    </row>
    <row r="468" spans="2:2">
      <c r="B468" s="7"/>
    </row>
    <row r="469" spans="2:2">
      <c r="B469" s="7"/>
    </row>
    <row r="470" spans="2:2">
      <c r="B470" s="7"/>
    </row>
    <row r="471" spans="2:2">
      <c r="B471" s="7"/>
    </row>
    <row r="472" spans="2:2">
      <c r="B472" s="7"/>
    </row>
    <row r="473" spans="2:2">
      <c r="B473" s="7"/>
    </row>
  </sheetData>
  <mergeCells count="6">
    <mergeCell ref="A2:H2"/>
    <mergeCell ref="D250:E250"/>
    <mergeCell ref="D251:E251"/>
    <mergeCell ref="A6:B6"/>
    <mergeCell ref="F250:H250"/>
    <mergeCell ref="F251:H251"/>
  </mergeCells>
  <pageMargins left="0.39370078740157483" right="0.39370078740157483" top="0.78740157480314965" bottom="0.39370078740157483" header="0.31496062992125984" footer="0.31496062992125984"/>
  <pageSetup paperSize="9" scale="64" fitToHeight="10" orientation="landscape" r:id="rId1"/>
  <rowBreaks count="2" manualBreakCount="2">
    <brk id="49" max="7" man="1"/>
    <brk id="136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AK545"/>
  <sheetViews>
    <sheetView view="pageBreakPreview" topLeftCell="A73" zoomScale="90" zoomScaleSheetLayoutView="90" workbookViewId="0">
      <selection activeCell="K88" sqref="K88"/>
    </sheetView>
  </sheetViews>
  <sheetFormatPr defaultColWidth="9.140625" defaultRowHeight="18.75"/>
  <cols>
    <col min="1" max="1" width="61.5703125" style="1" customWidth="1"/>
    <col min="2" max="2" width="13.140625" style="178" customWidth="1"/>
    <col min="3" max="3" width="16.140625" style="178" customWidth="1"/>
    <col min="4" max="4" width="16.7109375" style="178" customWidth="1"/>
    <col min="5" max="5" width="16.140625" style="178" customWidth="1"/>
    <col min="6" max="6" width="16" style="178" customWidth="1"/>
    <col min="7" max="7" width="16.42578125" style="1" customWidth="1"/>
    <col min="8" max="8" width="18" style="1" bestFit="1" customWidth="1"/>
    <col min="9" max="9" width="12" style="1" customWidth="1"/>
    <col min="10" max="16384" width="9.140625" style="1"/>
  </cols>
  <sheetData>
    <row r="1" spans="1:37" s="87" customFormat="1" ht="27.75" customHeight="1">
      <c r="A1" s="204" t="s">
        <v>103</v>
      </c>
      <c r="B1" s="204"/>
      <c r="C1" s="204"/>
      <c r="D1" s="204"/>
      <c r="E1" s="204"/>
      <c r="F1" s="204"/>
      <c r="G1" s="204"/>
    </row>
    <row r="2" spans="1:37" ht="19.5" customHeight="1">
      <c r="A2" s="182"/>
      <c r="B2" s="2"/>
      <c r="C2" s="182"/>
      <c r="D2" s="182"/>
      <c r="E2" s="182"/>
      <c r="F2" s="2"/>
      <c r="G2" s="169" t="s">
        <v>65</v>
      </c>
    </row>
    <row r="3" spans="1:37" ht="64.5" customHeight="1">
      <c r="A3" s="3" t="s">
        <v>23</v>
      </c>
      <c r="B3" s="8" t="s">
        <v>5</v>
      </c>
      <c r="C3" s="8" t="s">
        <v>531</v>
      </c>
      <c r="D3" s="8" t="s">
        <v>348</v>
      </c>
      <c r="E3" s="8" t="s">
        <v>352</v>
      </c>
      <c r="F3" s="84" t="s">
        <v>114</v>
      </c>
      <c r="G3" s="8" t="s">
        <v>115</v>
      </c>
    </row>
    <row r="4" spans="1:37" ht="24.75" customHeight="1">
      <c r="A4" s="3">
        <v>1</v>
      </c>
      <c r="B4" s="8">
        <v>2</v>
      </c>
      <c r="C4" s="8">
        <v>3</v>
      </c>
      <c r="D4" s="8">
        <v>4</v>
      </c>
      <c r="E4" s="8">
        <v>5</v>
      </c>
      <c r="F4" s="8">
        <v>6</v>
      </c>
      <c r="G4" s="3">
        <v>7</v>
      </c>
    </row>
    <row r="5" spans="1:37" ht="44.25" customHeight="1">
      <c r="A5" s="181" t="s">
        <v>13</v>
      </c>
      <c r="B5" s="156">
        <v>4000</v>
      </c>
      <c r="C5" s="10">
        <f>C6+C8+C99+C313+C316</f>
        <v>24676.899999999998</v>
      </c>
      <c r="D5" s="10">
        <f>D6+D8+D99+D313+D316</f>
        <v>3000.6</v>
      </c>
      <c r="E5" s="10">
        <f>E6+E8+E99+E313+E316</f>
        <v>25209.100000000002</v>
      </c>
      <c r="F5" s="10">
        <f>E5-D5</f>
        <v>22208.500000000004</v>
      </c>
      <c r="G5" s="170">
        <f>(E5/D5)*100</f>
        <v>840.13530627207911</v>
      </c>
      <c r="H5" s="16"/>
      <c r="AK5" s="1">
        <v>0</v>
      </c>
    </row>
    <row r="6" spans="1:37" s="155" customFormat="1" ht="33.75" customHeight="1">
      <c r="A6" s="63" t="s">
        <v>515</v>
      </c>
      <c r="B6" s="60">
        <v>4010</v>
      </c>
      <c r="C6" s="36"/>
      <c r="D6" s="36"/>
      <c r="E6" s="36">
        <f>E7</f>
        <v>388</v>
      </c>
      <c r="F6" s="36">
        <f t="shared" ref="F6:F83" si="0">E6-D6</f>
        <v>388</v>
      </c>
      <c r="G6" s="293" t="e">
        <f t="shared" ref="G6:G83" si="1">(E6/D6)*100</f>
        <v>#DIV/0!</v>
      </c>
      <c r="H6" s="154"/>
    </row>
    <row r="7" spans="1:37" ht="81.75" customHeight="1">
      <c r="A7" s="152" t="s">
        <v>356</v>
      </c>
      <c r="B7" s="8"/>
      <c r="C7" s="14"/>
      <c r="D7" s="14"/>
      <c r="E7" s="14">
        <v>388</v>
      </c>
      <c r="F7" s="10">
        <f t="shared" si="0"/>
        <v>388</v>
      </c>
      <c r="G7" s="151" t="e">
        <f t="shared" si="1"/>
        <v>#DIV/0!</v>
      </c>
      <c r="H7" s="16"/>
    </row>
    <row r="8" spans="1:37" ht="27.75" customHeight="1">
      <c r="A8" s="63" t="s">
        <v>0</v>
      </c>
      <c r="B8" s="60">
        <v>4020</v>
      </c>
      <c r="C8" s="36">
        <f>SUM(C9:C98)</f>
        <v>8133.7999999999975</v>
      </c>
      <c r="D8" s="36">
        <f>SUM(D9:D98)</f>
        <v>3000.6</v>
      </c>
      <c r="E8" s="36">
        <f>SUM(E9:E98)</f>
        <v>20417.100000000002</v>
      </c>
      <c r="F8" s="10">
        <f t="shared" si="0"/>
        <v>17416.500000000004</v>
      </c>
      <c r="G8" s="74">
        <f t="shared" si="1"/>
        <v>680.43391321735658</v>
      </c>
    </row>
    <row r="9" spans="1:37" ht="27.75" customHeight="1">
      <c r="A9" s="17" t="s">
        <v>313</v>
      </c>
      <c r="B9" s="60"/>
      <c r="C9" s="36"/>
      <c r="D9" s="146">
        <v>1006.6</v>
      </c>
      <c r="E9" s="14"/>
      <c r="F9" s="10">
        <f t="shared" si="0"/>
        <v>-1006.6</v>
      </c>
      <c r="G9" s="74">
        <f t="shared" si="1"/>
        <v>0</v>
      </c>
    </row>
    <row r="10" spans="1:37" ht="27.75" customHeight="1">
      <c r="A10" s="17" t="s">
        <v>314</v>
      </c>
      <c r="B10" s="60"/>
      <c r="C10" s="36"/>
      <c r="D10" s="146">
        <v>1994</v>
      </c>
      <c r="E10" s="14"/>
      <c r="F10" s="10">
        <f t="shared" si="0"/>
        <v>-1994</v>
      </c>
      <c r="G10" s="74">
        <f t="shared" si="1"/>
        <v>0</v>
      </c>
    </row>
    <row r="11" spans="1:37" ht="37.5" customHeight="1">
      <c r="A11" s="17" t="s">
        <v>537</v>
      </c>
      <c r="B11" s="60"/>
      <c r="C11" s="14">
        <v>29.9</v>
      </c>
      <c r="D11" s="146"/>
      <c r="E11" s="14"/>
      <c r="F11" s="10">
        <f t="shared" ref="F11:F40" si="2">E11-D11</f>
        <v>0</v>
      </c>
      <c r="G11" s="171" t="e">
        <f t="shared" ref="G11:G40" si="3">(E11/D11)*100</f>
        <v>#DIV/0!</v>
      </c>
    </row>
    <row r="12" spans="1:37" ht="27.75" customHeight="1">
      <c r="A12" s="17" t="s">
        <v>538</v>
      </c>
      <c r="B12" s="60"/>
      <c r="C12" s="14">
        <v>195</v>
      </c>
      <c r="D12" s="146"/>
      <c r="E12" s="14"/>
      <c r="F12" s="10">
        <f t="shared" si="2"/>
        <v>0</v>
      </c>
      <c r="G12" s="171" t="e">
        <f t="shared" si="3"/>
        <v>#DIV/0!</v>
      </c>
    </row>
    <row r="13" spans="1:37" ht="47.25" customHeight="1">
      <c r="A13" s="17" t="s">
        <v>539</v>
      </c>
      <c r="B13" s="60"/>
      <c r="C13" s="14">
        <v>250.5</v>
      </c>
      <c r="D13" s="146"/>
      <c r="E13" s="14"/>
      <c r="F13" s="10">
        <f t="shared" si="2"/>
        <v>0</v>
      </c>
      <c r="G13" s="171" t="e">
        <f t="shared" si="3"/>
        <v>#DIV/0!</v>
      </c>
    </row>
    <row r="14" spans="1:37" ht="27.75" customHeight="1">
      <c r="A14" s="17" t="s">
        <v>540</v>
      </c>
      <c r="B14" s="60"/>
      <c r="C14" s="14">
        <v>42.1</v>
      </c>
      <c r="D14" s="146"/>
      <c r="E14" s="14"/>
      <c r="F14" s="10">
        <f t="shared" si="2"/>
        <v>0</v>
      </c>
      <c r="G14" s="171" t="e">
        <f t="shared" si="3"/>
        <v>#DIV/0!</v>
      </c>
    </row>
    <row r="15" spans="1:37" ht="27.75" customHeight="1">
      <c r="A15" s="17" t="s">
        <v>541</v>
      </c>
      <c r="B15" s="60"/>
      <c r="C15" s="14">
        <v>32.9</v>
      </c>
      <c r="D15" s="146"/>
      <c r="E15" s="14"/>
      <c r="F15" s="10">
        <f t="shared" si="2"/>
        <v>0</v>
      </c>
      <c r="G15" s="171" t="e">
        <f t="shared" si="3"/>
        <v>#DIV/0!</v>
      </c>
    </row>
    <row r="16" spans="1:37" ht="27.75" customHeight="1">
      <c r="A16" s="17" t="s">
        <v>542</v>
      </c>
      <c r="B16" s="60"/>
      <c r="C16" s="14">
        <v>48.7</v>
      </c>
      <c r="D16" s="146"/>
      <c r="E16" s="14"/>
      <c r="F16" s="10">
        <f t="shared" si="2"/>
        <v>0</v>
      </c>
      <c r="G16" s="171" t="e">
        <f t="shared" si="3"/>
        <v>#DIV/0!</v>
      </c>
    </row>
    <row r="17" spans="1:7" ht="67.5" customHeight="1">
      <c r="A17" s="17" t="s">
        <v>543</v>
      </c>
      <c r="B17" s="60"/>
      <c r="C17" s="14">
        <v>1621.6</v>
      </c>
      <c r="D17" s="146"/>
      <c r="E17" s="14"/>
      <c r="F17" s="10">
        <f t="shared" si="2"/>
        <v>0</v>
      </c>
      <c r="G17" s="171" t="e">
        <f t="shared" si="3"/>
        <v>#DIV/0!</v>
      </c>
    </row>
    <row r="18" spans="1:7" ht="89.25" customHeight="1">
      <c r="A18" s="17" t="s">
        <v>544</v>
      </c>
      <c r="B18" s="60"/>
      <c r="C18" s="14">
        <v>1666</v>
      </c>
      <c r="D18" s="146"/>
      <c r="E18" s="14"/>
      <c r="F18" s="10">
        <f t="shared" si="2"/>
        <v>0</v>
      </c>
      <c r="G18" s="171" t="e">
        <f t="shared" si="3"/>
        <v>#DIV/0!</v>
      </c>
    </row>
    <row r="19" spans="1:7" ht="47.25" customHeight="1">
      <c r="A19" s="17" t="s">
        <v>545</v>
      </c>
      <c r="B19" s="60"/>
      <c r="C19" s="14">
        <v>331</v>
      </c>
      <c r="D19" s="146"/>
      <c r="E19" s="14"/>
      <c r="F19" s="10">
        <f t="shared" si="2"/>
        <v>0</v>
      </c>
      <c r="G19" s="171" t="e">
        <f t="shared" si="3"/>
        <v>#DIV/0!</v>
      </c>
    </row>
    <row r="20" spans="1:7" ht="47.25" customHeight="1">
      <c r="A20" s="17" t="s">
        <v>546</v>
      </c>
      <c r="B20" s="60"/>
      <c r="C20" s="14">
        <v>49.1</v>
      </c>
      <c r="D20" s="146"/>
      <c r="E20" s="14"/>
      <c r="F20" s="10">
        <f t="shared" si="2"/>
        <v>0</v>
      </c>
      <c r="G20" s="171" t="e">
        <f t="shared" si="3"/>
        <v>#DIV/0!</v>
      </c>
    </row>
    <row r="21" spans="1:7" ht="27.75" customHeight="1">
      <c r="A21" s="17" t="s">
        <v>547</v>
      </c>
      <c r="B21" s="60"/>
      <c r="C21" s="14">
        <v>56.4</v>
      </c>
      <c r="D21" s="146"/>
      <c r="E21" s="14"/>
      <c r="F21" s="10">
        <f t="shared" si="2"/>
        <v>0</v>
      </c>
      <c r="G21" s="171" t="e">
        <f t="shared" si="3"/>
        <v>#DIV/0!</v>
      </c>
    </row>
    <row r="22" spans="1:7" ht="27.75" customHeight="1">
      <c r="A22" s="17" t="s">
        <v>548</v>
      </c>
      <c r="B22" s="60"/>
      <c r="C22" s="14">
        <v>75</v>
      </c>
      <c r="D22" s="146"/>
      <c r="E22" s="14"/>
      <c r="F22" s="10">
        <f t="shared" si="2"/>
        <v>0</v>
      </c>
      <c r="G22" s="171" t="e">
        <f t="shared" si="3"/>
        <v>#DIV/0!</v>
      </c>
    </row>
    <row r="23" spans="1:7" ht="27.75" customHeight="1">
      <c r="A23" s="17" t="s">
        <v>549</v>
      </c>
      <c r="B23" s="60"/>
      <c r="C23" s="14">
        <v>41.2</v>
      </c>
      <c r="D23" s="146"/>
      <c r="E23" s="14"/>
      <c r="F23" s="10">
        <f t="shared" si="2"/>
        <v>0</v>
      </c>
      <c r="G23" s="171" t="e">
        <f t="shared" si="3"/>
        <v>#DIV/0!</v>
      </c>
    </row>
    <row r="24" spans="1:7" ht="27.75" customHeight="1">
      <c r="A24" s="17" t="s">
        <v>550</v>
      </c>
      <c r="B24" s="60"/>
      <c r="C24" s="14">
        <v>1700</v>
      </c>
      <c r="D24" s="146"/>
      <c r="E24" s="14"/>
      <c r="F24" s="10">
        <f t="shared" si="2"/>
        <v>0</v>
      </c>
      <c r="G24" s="171" t="e">
        <f t="shared" si="3"/>
        <v>#DIV/0!</v>
      </c>
    </row>
    <row r="25" spans="1:7" ht="42" customHeight="1">
      <c r="A25" s="17" t="s">
        <v>551</v>
      </c>
      <c r="B25" s="60"/>
      <c r="C25" s="14">
        <v>35.4</v>
      </c>
      <c r="D25" s="146"/>
      <c r="E25" s="14"/>
      <c r="F25" s="10">
        <f t="shared" si="2"/>
        <v>0</v>
      </c>
      <c r="G25" s="171" t="e">
        <f t="shared" si="3"/>
        <v>#DIV/0!</v>
      </c>
    </row>
    <row r="26" spans="1:7" ht="27.75" customHeight="1">
      <c r="A26" s="17" t="s">
        <v>552</v>
      </c>
      <c r="B26" s="60"/>
      <c r="C26" s="14">
        <v>780</v>
      </c>
      <c r="D26" s="146"/>
      <c r="E26" s="14"/>
      <c r="F26" s="10">
        <f t="shared" si="2"/>
        <v>0</v>
      </c>
      <c r="G26" s="171" t="e">
        <f t="shared" si="3"/>
        <v>#DIV/0!</v>
      </c>
    </row>
    <row r="27" spans="1:7" ht="27.75" customHeight="1">
      <c r="A27" s="19" t="s">
        <v>553</v>
      </c>
      <c r="B27" s="8"/>
      <c r="C27" s="14">
        <v>34.4</v>
      </c>
      <c r="D27" s="36"/>
      <c r="E27" s="14"/>
      <c r="F27" s="10">
        <f t="shared" si="2"/>
        <v>0</v>
      </c>
      <c r="G27" s="171" t="e">
        <f t="shared" si="3"/>
        <v>#DIV/0!</v>
      </c>
    </row>
    <row r="28" spans="1:7" ht="44.25" customHeight="1">
      <c r="A28" s="168" t="s">
        <v>554</v>
      </c>
      <c r="B28" s="60"/>
      <c r="C28" s="14">
        <v>44.9</v>
      </c>
      <c r="D28" s="36"/>
      <c r="E28" s="14"/>
      <c r="F28" s="10">
        <f t="shared" si="2"/>
        <v>0</v>
      </c>
      <c r="G28" s="171" t="e">
        <f t="shared" si="3"/>
        <v>#DIV/0!</v>
      </c>
    </row>
    <row r="29" spans="1:7" ht="30.75" customHeight="1">
      <c r="A29" s="168" t="s">
        <v>555</v>
      </c>
      <c r="B29" s="60"/>
      <c r="C29" s="14">
        <v>20.399999999999999</v>
      </c>
      <c r="D29" s="36"/>
      <c r="E29" s="14"/>
      <c r="F29" s="10">
        <f t="shared" si="2"/>
        <v>0</v>
      </c>
      <c r="G29" s="171" t="e">
        <f t="shared" si="3"/>
        <v>#DIV/0!</v>
      </c>
    </row>
    <row r="30" spans="1:7" ht="27.75" customHeight="1">
      <c r="A30" s="168" t="s">
        <v>556</v>
      </c>
      <c r="B30" s="60"/>
      <c r="C30" s="14">
        <v>23.5</v>
      </c>
      <c r="D30" s="36"/>
      <c r="E30" s="14"/>
      <c r="F30" s="10">
        <f t="shared" si="2"/>
        <v>0</v>
      </c>
      <c r="G30" s="171" t="e">
        <f t="shared" si="3"/>
        <v>#DIV/0!</v>
      </c>
    </row>
    <row r="31" spans="1:7" ht="31.5" customHeight="1">
      <c r="A31" s="168" t="s">
        <v>557</v>
      </c>
      <c r="B31" s="60"/>
      <c r="C31" s="14">
        <v>78.8</v>
      </c>
      <c r="D31" s="36"/>
      <c r="E31" s="14"/>
      <c r="F31" s="10">
        <f t="shared" si="2"/>
        <v>0</v>
      </c>
      <c r="G31" s="171" t="e">
        <f t="shared" si="3"/>
        <v>#DIV/0!</v>
      </c>
    </row>
    <row r="32" spans="1:7" ht="27.75" customHeight="1">
      <c r="A32" s="168" t="s">
        <v>558</v>
      </c>
      <c r="B32" s="60"/>
      <c r="C32" s="14">
        <v>33.5</v>
      </c>
      <c r="D32" s="36"/>
      <c r="E32" s="14"/>
      <c r="F32" s="10">
        <f t="shared" si="2"/>
        <v>0</v>
      </c>
      <c r="G32" s="171" t="e">
        <f t="shared" si="3"/>
        <v>#DIV/0!</v>
      </c>
    </row>
    <row r="33" spans="1:7" ht="29.25" customHeight="1">
      <c r="A33" s="168" t="s">
        <v>559</v>
      </c>
      <c r="B33" s="85"/>
      <c r="C33" s="14">
        <v>165.2</v>
      </c>
      <c r="D33" s="36"/>
      <c r="E33" s="14"/>
      <c r="F33" s="10">
        <f t="shared" si="2"/>
        <v>0</v>
      </c>
      <c r="G33" s="171" t="e">
        <f t="shared" si="3"/>
        <v>#DIV/0!</v>
      </c>
    </row>
    <row r="34" spans="1:7" ht="42" customHeight="1">
      <c r="A34" s="168" t="s">
        <v>560</v>
      </c>
      <c r="B34" s="85"/>
      <c r="C34" s="14">
        <v>93.8</v>
      </c>
      <c r="D34" s="36"/>
      <c r="E34" s="14"/>
      <c r="F34" s="10">
        <f t="shared" si="2"/>
        <v>0</v>
      </c>
      <c r="G34" s="171" t="e">
        <f t="shared" si="3"/>
        <v>#DIV/0!</v>
      </c>
    </row>
    <row r="35" spans="1:7" ht="60" customHeight="1">
      <c r="A35" s="168" t="s">
        <v>561</v>
      </c>
      <c r="B35" s="85"/>
      <c r="C35" s="14">
        <v>346</v>
      </c>
      <c r="D35" s="36"/>
      <c r="E35" s="14"/>
      <c r="F35" s="10">
        <f t="shared" si="2"/>
        <v>0</v>
      </c>
      <c r="G35" s="171" t="e">
        <f t="shared" si="3"/>
        <v>#DIV/0!</v>
      </c>
    </row>
    <row r="36" spans="1:7" ht="26.25" customHeight="1">
      <c r="A36" s="168" t="s">
        <v>562</v>
      </c>
      <c r="B36" s="85"/>
      <c r="C36" s="14">
        <v>36.4</v>
      </c>
      <c r="D36" s="36"/>
      <c r="E36" s="14"/>
      <c r="F36" s="10">
        <f t="shared" si="2"/>
        <v>0</v>
      </c>
      <c r="G36" s="171" t="e">
        <f t="shared" si="3"/>
        <v>#DIV/0!</v>
      </c>
    </row>
    <row r="37" spans="1:7" ht="31.5" customHeight="1">
      <c r="A37" s="168" t="s">
        <v>563</v>
      </c>
      <c r="B37" s="85"/>
      <c r="C37" s="14">
        <v>129.6</v>
      </c>
      <c r="D37" s="36"/>
      <c r="E37" s="14"/>
      <c r="F37" s="10">
        <f t="shared" si="2"/>
        <v>0</v>
      </c>
      <c r="G37" s="171" t="e">
        <f t="shared" si="3"/>
        <v>#DIV/0!</v>
      </c>
    </row>
    <row r="38" spans="1:7" ht="30" customHeight="1">
      <c r="A38" s="168" t="s">
        <v>564</v>
      </c>
      <c r="B38" s="85"/>
      <c r="C38" s="14">
        <v>47.7</v>
      </c>
      <c r="D38" s="36"/>
      <c r="E38" s="14"/>
      <c r="F38" s="10">
        <f t="shared" si="2"/>
        <v>0</v>
      </c>
      <c r="G38" s="171" t="e">
        <f t="shared" si="3"/>
        <v>#DIV/0!</v>
      </c>
    </row>
    <row r="39" spans="1:7" ht="27" customHeight="1">
      <c r="A39" s="168" t="s">
        <v>565</v>
      </c>
      <c r="B39" s="85"/>
      <c r="C39" s="14">
        <v>69.900000000000006</v>
      </c>
      <c r="D39" s="36"/>
      <c r="E39" s="14"/>
      <c r="F39" s="10">
        <f t="shared" si="2"/>
        <v>0</v>
      </c>
      <c r="G39" s="171" t="e">
        <f t="shared" si="3"/>
        <v>#DIV/0!</v>
      </c>
    </row>
    <row r="40" spans="1:7" ht="27.75" customHeight="1">
      <c r="A40" s="168" t="s">
        <v>566</v>
      </c>
      <c r="B40" s="85"/>
      <c r="C40" s="14">
        <v>54.9</v>
      </c>
      <c r="D40" s="36"/>
      <c r="E40" s="14"/>
      <c r="F40" s="10">
        <f t="shared" si="2"/>
        <v>0</v>
      </c>
      <c r="G40" s="171" t="e">
        <f t="shared" si="3"/>
        <v>#DIV/0!</v>
      </c>
    </row>
    <row r="41" spans="1:7" ht="27.75" customHeight="1">
      <c r="A41" s="168" t="s">
        <v>286</v>
      </c>
      <c r="B41" s="85"/>
      <c r="C41" s="14"/>
      <c r="D41" s="36"/>
      <c r="E41" s="14">
        <v>30.6</v>
      </c>
      <c r="F41" s="10">
        <f t="shared" si="0"/>
        <v>30.6</v>
      </c>
      <c r="G41" s="171" t="e">
        <f t="shared" si="1"/>
        <v>#DIV/0!</v>
      </c>
    </row>
    <row r="42" spans="1:7" ht="27.75" customHeight="1">
      <c r="A42" s="168" t="s">
        <v>291</v>
      </c>
      <c r="B42" s="85"/>
      <c r="C42" s="14"/>
      <c r="D42" s="36"/>
      <c r="E42" s="14">
        <v>27.9</v>
      </c>
      <c r="F42" s="10">
        <f t="shared" si="0"/>
        <v>27.9</v>
      </c>
      <c r="G42" s="171" t="e">
        <f t="shared" si="1"/>
        <v>#DIV/0!</v>
      </c>
    </row>
    <row r="43" spans="1:7" ht="27.75" customHeight="1">
      <c r="A43" s="168" t="s">
        <v>292</v>
      </c>
      <c r="B43" s="85"/>
      <c r="C43" s="14"/>
      <c r="D43" s="36"/>
      <c r="E43" s="14">
        <v>118.4</v>
      </c>
      <c r="F43" s="10">
        <f t="shared" si="0"/>
        <v>118.4</v>
      </c>
      <c r="G43" s="171" t="e">
        <f t="shared" si="1"/>
        <v>#DIV/0!</v>
      </c>
    </row>
    <row r="44" spans="1:7" ht="27.75" customHeight="1">
      <c r="A44" s="168" t="s">
        <v>294</v>
      </c>
      <c r="B44" s="85"/>
      <c r="C44" s="14"/>
      <c r="D44" s="36"/>
      <c r="E44" s="14">
        <v>41.8</v>
      </c>
      <c r="F44" s="10">
        <f t="shared" si="0"/>
        <v>41.8</v>
      </c>
      <c r="G44" s="171" t="e">
        <f t="shared" si="1"/>
        <v>#DIV/0!</v>
      </c>
    </row>
    <row r="45" spans="1:7" ht="27.75" customHeight="1">
      <c r="A45" s="168" t="s">
        <v>295</v>
      </c>
      <c r="B45" s="85"/>
      <c r="C45" s="14"/>
      <c r="D45" s="36"/>
      <c r="E45" s="14">
        <v>55.7</v>
      </c>
      <c r="F45" s="10">
        <f t="shared" si="0"/>
        <v>55.7</v>
      </c>
      <c r="G45" s="171" t="e">
        <f t="shared" si="1"/>
        <v>#DIV/0!</v>
      </c>
    </row>
    <row r="46" spans="1:7" ht="27.75" customHeight="1">
      <c r="A46" s="168" t="s">
        <v>296</v>
      </c>
      <c r="B46" s="85"/>
      <c r="C46" s="14"/>
      <c r="D46" s="36"/>
      <c r="E46" s="14">
        <v>33.4</v>
      </c>
      <c r="F46" s="10">
        <f t="shared" si="0"/>
        <v>33.4</v>
      </c>
      <c r="G46" s="171" t="e">
        <f t="shared" si="1"/>
        <v>#DIV/0!</v>
      </c>
    </row>
    <row r="47" spans="1:7" ht="27.75" customHeight="1">
      <c r="A47" s="168" t="s">
        <v>298</v>
      </c>
      <c r="B47" s="85"/>
      <c r="C47" s="14"/>
      <c r="D47" s="36"/>
      <c r="E47" s="14">
        <v>75.2</v>
      </c>
      <c r="F47" s="10">
        <f t="shared" si="0"/>
        <v>75.2</v>
      </c>
      <c r="G47" s="171" t="e">
        <f t="shared" si="1"/>
        <v>#DIV/0!</v>
      </c>
    </row>
    <row r="48" spans="1:7" ht="27.75" customHeight="1">
      <c r="A48" s="168" t="s">
        <v>317</v>
      </c>
      <c r="B48" s="85"/>
      <c r="C48" s="14"/>
      <c r="D48" s="36"/>
      <c r="E48" s="14">
        <v>266.2</v>
      </c>
      <c r="F48" s="10">
        <f t="shared" si="0"/>
        <v>266.2</v>
      </c>
      <c r="G48" s="171" t="e">
        <f t="shared" si="1"/>
        <v>#DIV/0!</v>
      </c>
    </row>
    <row r="49" spans="1:7" ht="27.75" customHeight="1">
      <c r="A49" s="168" t="s">
        <v>299</v>
      </c>
      <c r="B49" s="85"/>
      <c r="C49" s="14"/>
      <c r="D49" s="36"/>
      <c r="E49" s="14">
        <v>224.1</v>
      </c>
      <c r="F49" s="10">
        <f t="shared" si="0"/>
        <v>224.1</v>
      </c>
      <c r="G49" s="171" t="e">
        <f t="shared" si="1"/>
        <v>#DIV/0!</v>
      </c>
    </row>
    <row r="50" spans="1:7" ht="27.75" customHeight="1">
      <c r="A50" s="168" t="s">
        <v>300</v>
      </c>
      <c r="B50" s="85"/>
      <c r="C50" s="14"/>
      <c r="D50" s="36"/>
      <c r="E50" s="14">
        <v>98.7</v>
      </c>
      <c r="F50" s="10">
        <f t="shared" si="0"/>
        <v>98.7</v>
      </c>
      <c r="G50" s="171" t="e">
        <f t="shared" si="1"/>
        <v>#DIV/0!</v>
      </c>
    </row>
    <row r="51" spans="1:7" ht="39" customHeight="1">
      <c r="A51" s="168" t="s">
        <v>301</v>
      </c>
      <c r="B51" s="85"/>
      <c r="C51" s="14"/>
      <c r="D51" s="36"/>
      <c r="E51" s="14">
        <v>95</v>
      </c>
      <c r="F51" s="10">
        <f t="shared" si="0"/>
        <v>95</v>
      </c>
      <c r="G51" s="171" t="e">
        <f t="shared" si="1"/>
        <v>#DIV/0!</v>
      </c>
    </row>
    <row r="52" spans="1:7" ht="27.75" customHeight="1">
      <c r="A52" s="168" t="s">
        <v>302</v>
      </c>
      <c r="B52" s="85"/>
      <c r="C52" s="14"/>
      <c r="D52" s="36"/>
      <c r="E52" s="14">
        <v>93</v>
      </c>
      <c r="F52" s="10">
        <f t="shared" si="0"/>
        <v>93</v>
      </c>
      <c r="G52" s="171" t="e">
        <f t="shared" si="1"/>
        <v>#DIV/0!</v>
      </c>
    </row>
    <row r="53" spans="1:7" ht="27.75" customHeight="1">
      <c r="A53" s="168" t="s">
        <v>303</v>
      </c>
      <c r="B53" s="85"/>
      <c r="C53" s="14"/>
      <c r="D53" s="36"/>
      <c r="E53" s="14">
        <v>53.3</v>
      </c>
      <c r="F53" s="10">
        <f t="shared" si="0"/>
        <v>53.3</v>
      </c>
      <c r="G53" s="171" t="e">
        <f t="shared" si="1"/>
        <v>#DIV/0!</v>
      </c>
    </row>
    <row r="54" spans="1:7" ht="27.75" customHeight="1">
      <c r="A54" s="168" t="s">
        <v>304</v>
      </c>
      <c r="B54" s="85"/>
      <c r="C54" s="14"/>
      <c r="D54" s="36"/>
      <c r="E54" s="14">
        <v>46.5</v>
      </c>
      <c r="F54" s="10">
        <f t="shared" si="0"/>
        <v>46.5</v>
      </c>
      <c r="G54" s="171" t="e">
        <f t="shared" si="1"/>
        <v>#DIV/0!</v>
      </c>
    </row>
    <row r="55" spans="1:7" ht="39.75" customHeight="1">
      <c r="A55" s="168" t="s">
        <v>305</v>
      </c>
      <c r="B55" s="85"/>
      <c r="C55" s="14"/>
      <c r="D55" s="36"/>
      <c r="E55" s="14">
        <v>567.79999999999995</v>
      </c>
      <c r="F55" s="10">
        <f t="shared" si="0"/>
        <v>567.79999999999995</v>
      </c>
      <c r="G55" s="171" t="e">
        <f t="shared" si="1"/>
        <v>#DIV/0!</v>
      </c>
    </row>
    <row r="56" spans="1:7" ht="27.75" customHeight="1">
      <c r="A56" s="168" t="s">
        <v>484</v>
      </c>
      <c r="B56" s="85"/>
      <c r="C56" s="14"/>
      <c r="D56" s="36"/>
      <c r="E56" s="14">
        <v>3215</v>
      </c>
      <c r="F56" s="10">
        <f t="shared" si="0"/>
        <v>3215</v>
      </c>
      <c r="G56" s="171" t="e">
        <f t="shared" si="1"/>
        <v>#DIV/0!</v>
      </c>
    </row>
    <row r="57" spans="1:7" ht="22.5" customHeight="1">
      <c r="A57" s="168" t="s">
        <v>485</v>
      </c>
      <c r="B57" s="85"/>
      <c r="C57" s="14"/>
      <c r="D57" s="36"/>
      <c r="E57" s="14">
        <v>1103.5999999999999</v>
      </c>
      <c r="F57" s="10">
        <f t="shared" si="0"/>
        <v>1103.5999999999999</v>
      </c>
      <c r="G57" s="171" t="e">
        <f t="shared" si="1"/>
        <v>#DIV/0!</v>
      </c>
    </row>
    <row r="58" spans="1:7" ht="41.25" customHeight="1">
      <c r="A58" s="168" t="s">
        <v>486</v>
      </c>
      <c r="B58" s="85"/>
      <c r="C58" s="14"/>
      <c r="D58" s="36"/>
      <c r="E58" s="14">
        <v>245</v>
      </c>
      <c r="F58" s="10">
        <f t="shared" si="0"/>
        <v>245</v>
      </c>
      <c r="G58" s="171" t="e">
        <f t="shared" si="1"/>
        <v>#DIV/0!</v>
      </c>
    </row>
    <row r="59" spans="1:7" ht="35.25" customHeight="1">
      <c r="A59" s="168" t="s">
        <v>487</v>
      </c>
      <c r="B59" s="85"/>
      <c r="C59" s="14"/>
      <c r="D59" s="36"/>
      <c r="E59" s="14">
        <v>504</v>
      </c>
      <c r="F59" s="10">
        <f t="shared" si="0"/>
        <v>504</v>
      </c>
      <c r="G59" s="171" t="e">
        <f t="shared" si="1"/>
        <v>#DIV/0!</v>
      </c>
    </row>
    <row r="60" spans="1:7" ht="27.75" customHeight="1">
      <c r="A60" s="168" t="s">
        <v>488</v>
      </c>
      <c r="B60" s="85"/>
      <c r="C60" s="14"/>
      <c r="D60" s="36"/>
      <c r="E60" s="14">
        <v>480</v>
      </c>
      <c r="F60" s="10">
        <f t="shared" si="0"/>
        <v>480</v>
      </c>
      <c r="G60" s="171" t="e">
        <f t="shared" si="1"/>
        <v>#DIV/0!</v>
      </c>
    </row>
    <row r="61" spans="1:7" ht="27.75" customHeight="1">
      <c r="A61" s="168" t="s">
        <v>489</v>
      </c>
      <c r="B61" s="85"/>
      <c r="C61" s="14"/>
      <c r="D61" s="36"/>
      <c r="E61" s="14">
        <v>295.5</v>
      </c>
      <c r="F61" s="10">
        <f t="shared" si="0"/>
        <v>295.5</v>
      </c>
      <c r="G61" s="171" t="e">
        <f t="shared" si="1"/>
        <v>#DIV/0!</v>
      </c>
    </row>
    <row r="62" spans="1:7" ht="26.25" customHeight="1">
      <c r="A62" s="168" t="s">
        <v>490</v>
      </c>
      <c r="B62" s="85"/>
      <c r="C62" s="14"/>
      <c r="D62" s="36"/>
      <c r="E62" s="14">
        <v>62.4</v>
      </c>
      <c r="F62" s="10">
        <f t="shared" si="0"/>
        <v>62.4</v>
      </c>
      <c r="G62" s="171" t="e">
        <f t="shared" si="1"/>
        <v>#DIV/0!</v>
      </c>
    </row>
    <row r="63" spans="1:7" ht="36" customHeight="1">
      <c r="A63" s="168" t="s">
        <v>491</v>
      </c>
      <c r="B63" s="85"/>
      <c r="C63" s="14"/>
      <c r="D63" s="36"/>
      <c r="E63" s="14">
        <v>33.700000000000003</v>
      </c>
      <c r="F63" s="10">
        <f t="shared" si="0"/>
        <v>33.700000000000003</v>
      </c>
      <c r="G63" s="171" t="e">
        <f t="shared" si="1"/>
        <v>#DIV/0!</v>
      </c>
    </row>
    <row r="64" spans="1:7" ht="27.75" customHeight="1">
      <c r="A64" s="168" t="s">
        <v>492</v>
      </c>
      <c r="B64" s="85"/>
      <c r="C64" s="14"/>
      <c r="D64" s="36"/>
      <c r="E64" s="14">
        <v>67.7</v>
      </c>
      <c r="F64" s="10">
        <f t="shared" si="0"/>
        <v>67.7</v>
      </c>
      <c r="G64" s="171" t="e">
        <f t="shared" si="1"/>
        <v>#DIV/0!</v>
      </c>
    </row>
    <row r="65" spans="1:7" ht="27.75" customHeight="1">
      <c r="A65" s="168" t="s">
        <v>318</v>
      </c>
      <c r="B65" s="85"/>
      <c r="C65" s="14"/>
      <c r="D65" s="36"/>
      <c r="E65" s="14">
        <v>315</v>
      </c>
      <c r="F65" s="10">
        <f t="shared" si="0"/>
        <v>315</v>
      </c>
      <c r="G65" s="171" t="e">
        <f t="shared" si="1"/>
        <v>#DIV/0!</v>
      </c>
    </row>
    <row r="66" spans="1:7" ht="27.75" customHeight="1">
      <c r="A66" s="168" t="s">
        <v>319</v>
      </c>
      <c r="B66" s="85"/>
      <c r="C66" s="14"/>
      <c r="D66" s="36"/>
      <c r="E66" s="14">
        <v>101.6</v>
      </c>
      <c r="F66" s="10">
        <f t="shared" si="0"/>
        <v>101.6</v>
      </c>
      <c r="G66" s="171" t="e">
        <f t="shared" si="1"/>
        <v>#DIV/0!</v>
      </c>
    </row>
    <row r="67" spans="1:7" ht="39.75" customHeight="1">
      <c r="A67" s="168" t="s">
        <v>320</v>
      </c>
      <c r="B67" s="85"/>
      <c r="C67" s="14"/>
      <c r="D67" s="36"/>
      <c r="E67" s="14">
        <v>116.3</v>
      </c>
      <c r="F67" s="10">
        <f t="shared" si="0"/>
        <v>116.3</v>
      </c>
      <c r="G67" s="171" t="e">
        <f t="shared" si="1"/>
        <v>#DIV/0!</v>
      </c>
    </row>
    <row r="68" spans="1:7" ht="27.75" customHeight="1">
      <c r="A68" s="168" t="s">
        <v>493</v>
      </c>
      <c r="B68" s="85"/>
      <c r="C68" s="14"/>
      <c r="D68" s="36"/>
      <c r="E68" s="14">
        <v>202.4</v>
      </c>
      <c r="F68" s="10">
        <f t="shared" si="0"/>
        <v>202.4</v>
      </c>
      <c r="G68" s="171" t="e">
        <f t="shared" si="1"/>
        <v>#DIV/0!</v>
      </c>
    </row>
    <row r="69" spans="1:7" ht="27.75" customHeight="1">
      <c r="A69" s="168" t="s">
        <v>321</v>
      </c>
      <c r="B69" s="85"/>
      <c r="C69" s="14"/>
      <c r="D69" s="36"/>
      <c r="E69" s="14">
        <v>190.9</v>
      </c>
      <c r="F69" s="10">
        <f t="shared" si="0"/>
        <v>190.9</v>
      </c>
      <c r="G69" s="171" t="e">
        <f t="shared" si="1"/>
        <v>#DIV/0!</v>
      </c>
    </row>
    <row r="70" spans="1:7" ht="27.75" customHeight="1">
      <c r="A70" s="168" t="s">
        <v>322</v>
      </c>
      <c r="B70" s="85"/>
      <c r="C70" s="14"/>
      <c r="D70" s="36"/>
      <c r="E70" s="14">
        <v>185.3</v>
      </c>
      <c r="F70" s="10">
        <f t="shared" si="0"/>
        <v>185.3</v>
      </c>
      <c r="G70" s="171" t="e">
        <f t="shared" si="1"/>
        <v>#DIV/0!</v>
      </c>
    </row>
    <row r="71" spans="1:7" ht="27.75" customHeight="1">
      <c r="A71" s="168" t="s">
        <v>323</v>
      </c>
      <c r="B71" s="85"/>
      <c r="C71" s="14"/>
      <c r="D71" s="36"/>
      <c r="E71" s="14">
        <v>175</v>
      </c>
      <c r="F71" s="10">
        <f t="shared" si="0"/>
        <v>175</v>
      </c>
      <c r="G71" s="171" t="e">
        <f t="shared" si="1"/>
        <v>#DIV/0!</v>
      </c>
    </row>
    <row r="72" spans="1:7" ht="27.75" customHeight="1">
      <c r="A72" s="168" t="s">
        <v>494</v>
      </c>
      <c r="B72" s="85"/>
      <c r="C72" s="14"/>
      <c r="D72" s="36"/>
      <c r="E72" s="14">
        <v>142.69999999999999</v>
      </c>
      <c r="F72" s="10">
        <f t="shared" si="0"/>
        <v>142.69999999999999</v>
      </c>
      <c r="G72" s="171" t="e">
        <f t="shared" si="1"/>
        <v>#DIV/0!</v>
      </c>
    </row>
    <row r="73" spans="1:7" ht="27.75" customHeight="1">
      <c r="A73" s="168" t="s">
        <v>324</v>
      </c>
      <c r="B73" s="85"/>
      <c r="C73" s="14"/>
      <c r="D73" s="36"/>
      <c r="E73" s="14">
        <v>40</v>
      </c>
      <c r="F73" s="10">
        <f t="shared" si="0"/>
        <v>40</v>
      </c>
      <c r="G73" s="171" t="e">
        <f t="shared" si="1"/>
        <v>#DIV/0!</v>
      </c>
    </row>
    <row r="74" spans="1:7" ht="39.75" customHeight="1">
      <c r="A74" s="168" t="s">
        <v>325</v>
      </c>
      <c r="B74" s="85"/>
      <c r="C74" s="14"/>
      <c r="D74" s="36"/>
      <c r="E74" s="14">
        <v>1994</v>
      </c>
      <c r="F74" s="10">
        <f t="shared" si="0"/>
        <v>1994</v>
      </c>
      <c r="G74" s="171" t="e">
        <f t="shared" si="1"/>
        <v>#DIV/0!</v>
      </c>
    </row>
    <row r="75" spans="1:7" ht="39.75" customHeight="1">
      <c r="A75" s="168" t="s">
        <v>326</v>
      </c>
      <c r="B75" s="85"/>
      <c r="C75" s="14"/>
      <c r="D75" s="36"/>
      <c r="E75" s="14">
        <v>504</v>
      </c>
      <c r="F75" s="10">
        <f t="shared" si="0"/>
        <v>504</v>
      </c>
      <c r="G75" s="171" t="e">
        <f t="shared" si="1"/>
        <v>#DIV/0!</v>
      </c>
    </row>
    <row r="76" spans="1:7" ht="27.75" customHeight="1">
      <c r="A76" s="168" t="s">
        <v>495</v>
      </c>
      <c r="B76" s="85"/>
      <c r="C76" s="14"/>
      <c r="D76" s="36"/>
      <c r="E76" s="14">
        <v>51.8</v>
      </c>
      <c r="F76" s="10">
        <f t="shared" si="0"/>
        <v>51.8</v>
      </c>
      <c r="G76" s="171" t="e">
        <f t="shared" si="1"/>
        <v>#DIV/0!</v>
      </c>
    </row>
    <row r="77" spans="1:7" ht="27.75" customHeight="1">
      <c r="A77" s="168" t="s">
        <v>327</v>
      </c>
      <c r="B77" s="85"/>
      <c r="C77" s="14"/>
      <c r="D77" s="36"/>
      <c r="E77" s="14">
        <v>28.4</v>
      </c>
      <c r="F77" s="10">
        <f t="shared" si="0"/>
        <v>28.4</v>
      </c>
      <c r="G77" s="171" t="e">
        <f t="shared" si="1"/>
        <v>#DIV/0!</v>
      </c>
    </row>
    <row r="78" spans="1:7" ht="27.75" customHeight="1">
      <c r="A78" s="168" t="s">
        <v>328</v>
      </c>
      <c r="B78" s="85"/>
      <c r="C78" s="14"/>
      <c r="D78" s="36"/>
      <c r="E78" s="14">
        <v>1006.7</v>
      </c>
      <c r="F78" s="10">
        <f t="shared" si="0"/>
        <v>1006.7</v>
      </c>
      <c r="G78" s="171" t="e">
        <f t="shared" si="1"/>
        <v>#DIV/0!</v>
      </c>
    </row>
    <row r="79" spans="1:7" ht="27.75" customHeight="1">
      <c r="A79" s="168" t="s">
        <v>496</v>
      </c>
      <c r="B79" s="85"/>
      <c r="C79" s="14"/>
      <c r="D79" s="36"/>
      <c r="E79" s="14">
        <v>925.5</v>
      </c>
      <c r="F79" s="10">
        <f t="shared" si="0"/>
        <v>925.5</v>
      </c>
      <c r="G79" s="171" t="e">
        <f t="shared" si="1"/>
        <v>#DIV/0!</v>
      </c>
    </row>
    <row r="80" spans="1:7" ht="27.75" customHeight="1">
      <c r="A80" s="168" t="s">
        <v>329</v>
      </c>
      <c r="B80" s="85"/>
      <c r="C80" s="14"/>
      <c r="D80" s="36"/>
      <c r="E80" s="14">
        <v>1370.6</v>
      </c>
      <c r="F80" s="10">
        <f t="shared" si="0"/>
        <v>1370.6</v>
      </c>
      <c r="G80" s="171" t="e">
        <f t="shared" si="1"/>
        <v>#DIV/0!</v>
      </c>
    </row>
    <row r="81" spans="1:7" ht="37.5" customHeight="1">
      <c r="A81" s="168" t="s">
        <v>330</v>
      </c>
      <c r="B81" s="85"/>
      <c r="C81" s="14"/>
      <c r="D81" s="36"/>
      <c r="E81" s="14">
        <v>76.3</v>
      </c>
      <c r="F81" s="10">
        <f t="shared" si="0"/>
        <v>76.3</v>
      </c>
      <c r="G81" s="171" t="e">
        <f t="shared" si="1"/>
        <v>#DIV/0!</v>
      </c>
    </row>
    <row r="82" spans="1:7" ht="40.5" customHeight="1">
      <c r="A82" s="168" t="s">
        <v>497</v>
      </c>
      <c r="B82" s="85"/>
      <c r="C82" s="14"/>
      <c r="D82" s="36"/>
      <c r="E82" s="14">
        <v>53.6</v>
      </c>
      <c r="F82" s="10">
        <f t="shared" si="0"/>
        <v>53.6</v>
      </c>
      <c r="G82" s="171" t="e">
        <f t="shared" si="1"/>
        <v>#DIV/0!</v>
      </c>
    </row>
    <row r="83" spans="1:7" ht="27.75" customHeight="1">
      <c r="A83" s="168" t="s">
        <v>498</v>
      </c>
      <c r="B83" s="85"/>
      <c r="C83" s="14"/>
      <c r="D83" s="36"/>
      <c r="E83" s="14">
        <v>78</v>
      </c>
      <c r="F83" s="10">
        <f t="shared" si="0"/>
        <v>78</v>
      </c>
      <c r="G83" s="171" t="e">
        <f t="shared" si="1"/>
        <v>#DIV/0!</v>
      </c>
    </row>
    <row r="84" spans="1:7" ht="27.75" customHeight="1">
      <c r="A84" s="168" t="s">
        <v>499</v>
      </c>
      <c r="B84" s="85"/>
      <c r="C84" s="14"/>
      <c r="D84" s="36"/>
      <c r="E84" s="14">
        <v>28.1</v>
      </c>
      <c r="F84" s="10">
        <f t="shared" ref="F84:F99" si="4">E84-D84</f>
        <v>28.1</v>
      </c>
      <c r="G84" s="171" t="e">
        <f t="shared" ref="G84:G99" si="5">(E84/D84)*100</f>
        <v>#DIV/0!</v>
      </c>
    </row>
    <row r="85" spans="1:7" ht="27.75" customHeight="1">
      <c r="A85" s="168" t="s">
        <v>500</v>
      </c>
      <c r="B85" s="85"/>
      <c r="C85" s="14"/>
      <c r="D85" s="36"/>
      <c r="E85" s="14">
        <v>56.3</v>
      </c>
      <c r="F85" s="10">
        <f t="shared" si="4"/>
        <v>56.3</v>
      </c>
      <c r="G85" s="171" t="e">
        <f t="shared" si="5"/>
        <v>#DIV/0!</v>
      </c>
    </row>
    <row r="86" spans="1:7" ht="27.75" customHeight="1">
      <c r="A86" s="168" t="s">
        <v>501</v>
      </c>
      <c r="B86" s="85"/>
      <c r="C86" s="14"/>
      <c r="D86" s="36"/>
      <c r="E86" s="14">
        <v>42.1</v>
      </c>
      <c r="F86" s="10">
        <f t="shared" si="4"/>
        <v>42.1</v>
      </c>
      <c r="G86" s="171" t="e">
        <f t="shared" si="5"/>
        <v>#DIV/0!</v>
      </c>
    </row>
    <row r="87" spans="1:7" ht="27.75" customHeight="1">
      <c r="A87" s="168" t="s">
        <v>502</v>
      </c>
      <c r="B87" s="85"/>
      <c r="C87" s="14"/>
      <c r="D87" s="36"/>
      <c r="E87" s="14">
        <v>25.3</v>
      </c>
      <c r="F87" s="10">
        <f t="shared" si="4"/>
        <v>25.3</v>
      </c>
      <c r="G87" s="171" t="e">
        <f t="shared" si="5"/>
        <v>#DIV/0!</v>
      </c>
    </row>
    <row r="88" spans="1:7" ht="27.75" customHeight="1">
      <c r="A88" s="168" t="s">
        <v>503</v>
      </c>
      <c r="B88" s="85"/>
      <c r="C88" s="14"/>
      <c r="D88" s="36"/>
      <c r="E88" s="14">
        <v>142.19999999999999</v>
      </c>
      <c r="F88" s="10">
        <f t="shared" si="4"/>
        <v>142.19999999999999</v>
      </c>
      <c r="G88" s="171" t="e">
        <f t="shared" si="5"/>
        <v>#DIV/0!</v>
      </c>
    </row>
    <row r="89" spans="1:7" ht="27.75" customHeight="1">
      <c r="A89" s="168" t="s">
        <v>504</v>
      </c>
      <c r="B89" s="85"/>
      <c r="C89" s="14"/>
      <c r="D89" s="36"/>
      <c r="E89" s="14">
        <v>23</v>
      </c>
      <c r="F89" s="10">
        <f t="shared" si="4"/>
        <v>23</v>
      </c>
      <c r="G89" s="171" t="e">
        <f t="shared" si="5"/>
        <v>#DIV/0!</v>
      </c>
    </row>
    <row r="90" spans="1:7" ht="39.75" customHeight="1">
      <c r="A90" s="168" t="s">
        <v>505</v>
      </c>
      <c r="B90" s="85"/>
      <c r="C90" s="14"/>
      <c r="D90" s="36"/>
      <c r="E90" s="14">
        <v>76.7</v>
      </c>
      <c r="F90" s="10">
        <f t="shared" si="4"/>
        <v>76.7</v>
      </c>
      <c r="G90" s="171" t="e">
        <f t="shared" si="5"/>
        <v>#DIV/0!</v>
      </c>
    </row>
    <row r="91" spans="1:7" ht="27.75" customHeight="1">
      <c r="A91" s="168" t="s">
        <v>506</v>
      </c>
      <c r="B91" s="85"/>
      <c r="C91" s="14"/>
      <c r="D91" s="36"/>
      <c r="E91" s="14">
        <v>380.3</v>
      </c>
      <c r="F91" s="10">
        <f t="shared" si="4"/>
        <v>380.3</v>
      </c>
      <c r="G91" s="171" t="e">
        <f t="shared" si="5"/>
        <v>#DIV/0!</v>
      </c>
    </row>
    <row r="92" spans="1:7" ht="27.75" customHeight="1">
      <c r="A92" s="168" t="s">
        <v>507</v>
      </c>
      <c r="B92" s="85"/>
      <c r="C92" s="14"/>
      <c r="D92" s="36"/>
      <c r="E92" s="14">
        <v>104</v>
      </c>
      <c r="F92" s="10">
        <f t="shared" si="4"/>
        <v>104</v>
      </c>
      <c r="G92" s="171" t="e">
        <f t="shared" si="5"/>
        <v>#DIV/0!</v>
      </c>
    </row>
    <row r="93" spans="1:7" ht="27.75" customHeight="1">
      <c r="A93" s="168" t="s">
        <v>508</v>
      </c>
      <c r="B93" s="85"/>
      <c r="C93" s="14"/>
      <c r="D93" s="36"/>
      <c r="E93" s="14">
        <v>67.2</v>
      </c>
      <c r="F93" s="10">
        <f t="shared" si="4"/>
        <v>67.2</v>
      </c>
      <c r="G93" s="171" t="e">
        <f t="shared" si="5"/>
        <v>#DIV/0!</v>
      </c>
    </row>
    <row r="94" spans="1:7" ht="38.25" customHeight="1">
      <c r="A94" s="168" t="s">
        <v>509</v>
      </c>
      <c r="B94" s="85"/>
      <c r="C94" s="14"/>
      <c r="D94" s="36"/>
      <c r="E94" s="14">
        <v>24</v>
      </c>
      <c r="F94" s="10">
        <f t="shared" si="4"/>
        <v>24</v>
      </c>
      <c r="G94" s="171" t="e">
        <f t="shared" si="5"/>
        <v>#DIV/0!</v>
      </c>
    </row>
    <row r="95" spans="1:7" ht="38.25" customHeight="1">
      <c r="A95" s="168" t="s">
        <v>510</v>
      </c>
      <c r="B95" s="85"/>
      <c r="C95" s="14"/>
      <c r="D95" s="36"/>
      <c r="E95" s="14">
        <v>42</v>
      </c>
      <c r="F95" s="10">
        <f t="shared" si="4"/>
        <v>42</v>
      </c>
      <c r="G95" s="171" t="e">
        <f t="shared" si="5"/>
        <v>#DIV/0!</v>
      </c>
    </row>
    <row r="96" spans="1:7" ht="27.75" customHeight="1">
      <c r="A96" s="168" t="s">
        <v>511</v>
      </c>
      <c r="B96" s="85"/>
      <c r="C96" s="14"/>
      <c r="D96" s="36"/>
      <c r="E96" s="14">
        <v>38.5</v>
      </c>
      <c r="F96" s="10">
        <f t="shared" si="4"/>
        <v>38.5</v>
      </c>
      <c r="G96" s="171" t="e">
        <f t="shared" si="5"/>
        <v>#DIV/0!</v>
      </c>
    </row>
    <row r="97" spans="1:9" ht="27.75" customHeight="1">
      <c r="A97" s="168" t="s">
        <v>512</v>
      </c>
      <c r="B97" s="85"/>
      <c r="C97" s="14"/>
      <c r="D97" s="36"/>
      <c r="E97" s="14">
        <v>37.4</v>
      </c>
      <c r="F97" s="10">
        <f t="shared" si="4"/>
        <v>37.4</v>
      </c>
      <c r="G97" s="171" t="e">
        <f t="shared" si="5"/>
        <v>#DIV/0!</v>
      </c>
    </row>
    <row r="98" spans="1:9" ht="27.75" customHeight="1">
      <c r="A98" s="17" t="s">
        <v>513</v>
      </c>
      <c r="B98" s="85"/>
      <c r="C98" s="14"/>
      <c r="D98" s="36"/>
      <c r="E98" s="14">
        <v>3937.4</v>
      </c>
      <c r="F98" s="10">
        <f t="shared" si="4"/>
        <v>3937.4</v>
      </c>
      <c r="G98" s="171" t="e">
        <f t="shared" si="5"/>
        <v>#DIV/0!</v>
      </c>
    </row>
    <row r="99" spans="1:9" s="4" customFormat="1" ht="43.5" customHeight="1">
      <c r="A99" s="63" t="s">
        <v>7</v>
      </c>
      <c r="B99" s="85">
        <v>4030</v>
      </c>
      <c r="C99" s="36">
        <f>SUM(C100:C312)</f>
        <v>1368.6</v>
      </c>
      <c r="D99" s="36">
        <f>SUM(D151:D312)</f>
        <v>0</v>
      </c>
      <c r="E99" s="36">
        <f>SUM(E151:E312)</f>
        <v>1294.1999999999998</v>
      </c>
      <c r="F99" s="10">
        <f t="shared" si="4"/>
        <v>1294.1999999999998</v>
      </c>
      <c r="G99" s="151" t="e">
        <f t="shared" si="5"/>
        <v>#DIV/0!</v>
      </c>
      <c r="H99" s="21"/>
      <c r="I99" s="21"/>
    </row>
    <row r="100" spans="1:9" s="4" customFormat="1" ht="33" customHeight="1">
      <c r="A100" s="70" t="s">
        <v>567</v>
      </c>
      <c r="B100" s="85"/>
      <c r="C100" s="14">
        <v>14.1</v>
      </c>
      <c r="D100" s="36"/>
      <c r="E100" s="36"/>
      <c r="F100" s="10">
        <f t="shared" ref="F100:F163" si="6">E100-D100</f>
        <v>0</v>
      </c>
      <c r="G100" s="151" t="e">
        <f t="shared" ref="G100:G163" si="7">(E100/D100)*100</f>
        <v>#DIV/0!</v>
      </c>
      <c r="H100" s="21"/>
      <c r="I100" s="21"/>
    </row>
    <row r="101" spans="1:9" s="4" customFormat="1" ht="34.5" customHeight="1">
      <c r="A101" s="70" t="s">
        <v>568</v>
      </c>
      <c r="B101" s="85"/>
      <c r="C101" s="14">
        <v>8.1999999999999993</v>
      </c>
      <c r="D101" s="36"/>
      <c r="E101" s="36"/>
      <c r="F101" s="10">
        <f t="shared" si="6"/>
        <v>0</v>
      </c>
      <c r="G101" s="151" t="e">
        <f t="shared" si="7"/>
        <v>#DIV/0!</v>
      </c>
      <c r="H101" s="21"/>
      <c r="I101" s="21"/>
    </row>
    <row r="102" spans="1:9" s="4" customFormat="1" ht="28.5" customHeight="1">
      <c r="A102" s="70" t="s">
        <v>569</v>
      </c>
      <c r="B102" s="85"/>
      <c r="C102" s="14">
        <v>0.3</v>
      </c>
      <c r="D102" s="36"/>
      <c r="E102" s="36"/>
      <c r="F102" s="10">
        <f t="shared" si="6"/>
        <v>0</v>
      </c>
      <c r="G102" s="151" t="e">
        <f t="shared" si="7"/>
        <v>#DIV/0!</v>
      </c>
      <c r="H102" s="21"/>
      <c r="I102" s="21"/>
    </row>
    <row r="103" spans="1:9" s="4" customFormat="1" ht="30" customHeight="1">
      <c r="A103" s="70" t="s">
        <v>570</v>
      </c>
      <c r="B103" s="85"/>
      <c r="C103" s="14">
        <v>0.1</v>
      </c>
      <c r="D103" s="36"/>
      <c r="E103" s="36"/>
      <c r="F103" s="10">
        <f t="shared" si="6"/>
        <v>0</v>
      </c>
      <c r="G103" s="151" t="e">
        <f t="shared" si="7"/>
        <v>#DIV/0!</v>
      </c>
      <c r="H103" s="21"/>
      <c r="I103" s="21"/>
    </row>
    <row r="104" spans="1:9" s="4" customFormat="1" ht="33" customHeight="1">
      <c r="A104" s="70" t="s">
        <v>571</v>
      </c>
      <c r="B104" s="85"/>
      <c r="C104" s="14">
        <v>1.6</v>
      </c>
      <c r="D104" s="36"/>
      <c r="E104" s="36"/>
      <c r="F104" s="10">
        <f t="shared" si="6"/>
        <v>0</v>
      </c>
      <c r="G104" s="151" t="e">
        <f t="shared" si="7"/>
        <v>#DIV/0!</v>
      </c>
      <c r="H104" s="21"/>
      <c r="I104" s="21"/>
    </row>
    <row r="105" spans="1:9" s="4" customFormat="1" ht="33.75" customHeight="1">
      <c r="A105" s="70" t="s">
        <v>572</v>
      </c>
      <c r="B105" s="85"/>
      <c r="C105" s="14">
        <v>4.2</v>
      </c>
      <c r="D105" s="36"/>
      <c r="E105" s="36"/>
      <c r="F105" s="10">
        <f t="shared" si="6"/>
        <v>0</v>
      </c>
      <c r="G105" s="151" t="e">
        <f t="shared" si="7"/>
        <v>#DIV/0!</v>
      </c>
      <c r="H105" s="21"/>
      <c r="I105" s="21"/>
    </row>
    <row r="106" spans="1:9" s="4" customFormat="1" ht="31.5" customHeight="1">
      <c r="A106" s="70" t="s">
        <v>573</v>
      </c>
      <c r="B106" s="85"/>
      <c r="C106" s="14">
        <v>1.2</v>
      </c>
      <c r="D106" s="36"/>
      <c r="E106" s="36"/>
      <c r="F106" s="10">
        <f t="shared" si="6"/>
        <v>0</v>
      </c>
      <c r="G106" s="151" t="e">
        <f t="shared" si="7"/>
        <v>#DIV/0!</v>
      </c>
      <c r="H106" s="21"/>
      <c r="I106" s="21"/>
    </row>
    <row r="107" spans="1:9" s="4" customFormat="1" ht="30.75" customHeight="1">
      <c r="A107" s="70" t="s">
        <v>574</v>
      </c>
      <c r="B107" s="85"/>
      <c r="C107" s="14">
        <v>0.2</v>
      </c>
      <c r="D107" s="36"/>
      <c r="E107" s="36"/>
      <c r="F107" s="10">
        <f t="shared" si="6"/>
        <v>0</v>
      </c>
      <c r="G107" s="151" t="e">
        <f t="shared" si="7"/>
        <v>#DIV/0!</v>
      </c>
      <c r="H107" s="21"/>
      <c r="I107" s="21"/>
    </row>
    <row r="108" spans="1:9" s="4" customFormat="1" ht="31.5" customHeight="1">
      <c r="A108" s="70" t="s">
        <v>575</v>
      </c>
      <c r="B108" s="85"/>
      <c r="C108" s="14">
        <v>0.5</v>
      </c>
      <c r="D108" s="36"/>
      <c r="E108" s="36"/>
      <c r="F108" s="10">
        <f t="shared" si="6"/>
        <v>0</v>
      </c>
      <c r="G108" s="151" t="e">
        <f t="shared" si="7"/>
        <v>#DIV/0!</v>
      </c>
      <c r="H108" s="21"/>
      <c r="I108" s="21"/>
    </row>
    <row r="109" spans="1:9" s="4" customFormat="1" ht="43.5" customHeight="1">
      <c r="A109" s="70" t="s">
        <v>576</v>
      </c>
      <c r="B109" s="85"/>
      <c r="C109" s="14">
        <v>0.7</v>
      </c>
      <c r="D109" s="36"/>
      <c r="E109" s="36"/>
      <c r="F109" s="10">
        <f t="shared" si="6"/>
        <v>0</v>
      </c>
      <c r="G109" s="151" t="e">
        <f t="shared" si="7"/>
        <v>#DIV/0!</v>
      </c>
      <c r="H109" s="21"/>
      <c r="I109" s="21"/>
    </row>
    <row r="110" spans="1:9" s="4" customFormat="1" ht="33" customHeight="1">
      <c r="A110" s="70" t="s">
        <v>577</v>
      </c>
      <c r="B110" s="85"/>
      <c r="C110" s="14">
        <v>1.9</v>
      </c>
      <c r="D110" s="36"/>
      <c r="E110" s="36"/>
      <c r="F110" s="10">
        <f t="shared" si="6"/>
        <v>0</v>
      </c>
      <c r="G110" s="151" t="e">
        <f t="shared" si="7"/>
        <v>#DIV/0!</v>
      </c>
      <c r="H110" s="21"/>
      <c r="I110" s="21"/>
    </row>
    <row r="111" spans="1:9" s="4" customFormat="1" ht="29.25" customHeight="1">
      <c r="A111" s="70" t="s">
        <v>578</v>
      </c>
      <c r="B111" s="85"/>
      <c r="C111" s="14">
        <v>2.1</v>
      </c>
      <c r="D111" s="36"/>
      <c r="E111" s="36"/>
      <c r="F111" s="10">
        <f t="shared" si="6"/>
        <v>0</v>
      </c>
      <c r="G111" s="151" t="e">
        <f t="shared" si="7"/>
        <v>#DIV/0!</v>
      </c>
      <c r="H111" s="21"/>
      <c r="I111" s="21"/>
    </row>
    <row r="112" spans="1:9" s="4" customFormat="1" ht="33" customHeight="1">
      <c r="A112" s="70" t="s">
        <v>579</v>
      </c>
      <c r="B112" s="85"/>
      <c r="C112" s="14">
        <v>1.7</v>
      </c>
      <c r="D112" s="36"/>
      <c r="E112" s="36"/>
      <c r="F112" s="10">
        <f t="shared" si="6"/>
        <v>0</v>
      </c>
      <c r="G112" s="151" t="e">
        <f t="shared" si="7"/>
        <v>#DIV/0!</v>
      </c>
      <c r="H112" s="21"/>
      <c r="I112" s="21"/>
    </row>
    <row r="113" spans="1:9" s="4" customFormat="1" ht="33" customHeight="1">
      <c r="A113" s="70" t="s">
        <v>580</v>
      </c>
      <c r="B113" s="85"/>
      <c r="C113" s="14">
        <v>1</v>
      </c>
      <c r="D113" s="36"/>
      <c r="E113" s="36"/>
      <c r="F113" s="10">
        <f t="shared" si="6"/>
        <v>0</v>
      </c>
      <c r="G113" s="151" t="e">
        <f t="shared" si="7"/>
        <v>#DIV/0!</v>
      </c>
      <c r="H113" s="21"/>
      <c r="I113" s="21"/>
    </row>
    <row r="114" spans="1:9" s="4" customFormat="1" ht="32.25" customHeight="1">
      <c r="A114" s="70" t="s">
        <v>581</v>
      </c>
      <c r="B114" s="85"/>
      <c r="C114" s="14">
        <v>1.3</v>
      </c>
      <c r="D114" s="36"/>
      <c r="E114" s="36"/>
      <c r="F114" s="10">
        <f t="shared" si="6"/>
        <v>0</v>
      </c>
      <c r="G114" s="151" t="e">
        <f t="shared" si="7"/>
        <v>#DIV/0!</v>
      </c>
      <c r="H114" s="21"/>
      <c r="I114" s="21"/>
    </row>
    <row r="115" spans="1:9" s="4" customFormat="1" ht="31.5" customHeight="1">
      <c r="A115" s="70" t="s">
        <v>582</v>
      </c>
      <c r="B115" s="85"/>
      <c r="C115" s="14">
        <v>0.4</v>
      </c>
      <c r="D115" s="36"/>
      <c r="E115" s="36"/>
      <c r="F115" s="10">
        <f t="shared" si="6"/>
        <v>0</v>
      </c>
      <c r="G115" s="151" t="e">
        <f t="shared" si="7"/>
        <v>#DIV/0!</v>
      </c>
      <c r="H115" s="21"/>
      <c r="I115" s="21"/>
    </row>
    <row r="116" spans="1:9" s="4" customFormat="1" ht="30.75" customHeight="1">
      <c r="A116" s="70" t="s">
        <v>583</v>
      </c>
      <c r="B116" s="85"/>
      <c r="C116" s="14">
        <v>2.2000000000000002</v>
      </c>
      <c r="D116" s="36"/>
      <c r="E116" s="36"/>
      <c r="F116" s="10">
        <f t="shared" si="6"/>
        <v>0</v>
      </c>
      <c r="G116" s="151" t="e">
        <f t="shared" si="7"/>
        <v>#DIV/0!</v>
      </c>
      <c r="H116" s="21"/>
      <c r="I116" s="21"/>
    </row>
    <row r="117" spans="1:9" s="4" customFormat="1" ht="33" customHeight="1">
      <c r="A117" s="70" t="s">
        <v>584</v>
      </c>
      <c r="B117" s="85"/>
      <c r="C117" s="14">
        <v>1.1000000000000001</v>
      </c>
      <c r="D117" s="36"/>
      <c r="E117" s="36"/>
      <c r="F117" s="10">
        <f t="shared" si="6"/>
        <v>0</v>
      </c>
      <c r="G117" s="151" t="e">
        <f t="shared" si="7"/>
        <v>#DIV/0!</v>
      </c>
      <c r="H117" s="21"/>
      <c r="I117" s="21"/>
    </row>
    <row r="118" spans="1:9" s="4" customFormat="1" ht="46.5" customHeight="1">
      <c r="A118" s="70" t="s">
        <v>585</v>
      </c>
      <c r="B118" s="85"/>
      <c r="C118" s="14">
        <v>1.7</v>
      </c>
      <c r="D118" s="36"/>
      <c r="E118" s="36"/>
      <c r="F118" s="10">
        <f t="shared" si="6"/>
        <v>0</v>
      </c>
      <c r="G118" s="151" t="e">
        <f t="shared" si="7"/>
        <v>#DIV/0!</v>
      </c>
      <c r="H118" s="21"/>
      <c r="I118" s="21"/>
    </row>
    <row r="119" spans="1:9" s="4" customFormat="1" ht="36.75" customHeight="1">
      <c r="A119" s="70" t="s">
        <v>586</v>
      </c>
      <c r="B119" s="85"/>
      <c r="C119" s="14">
        <v>2.1</v>
      </c>
      <c r="D119" s="36"/>
      <c r="E119" s="36"/>
      <c r="F119" s="10">
        <f t="shared" si="6"/>
        <v>0</v>
      </c>
      <c r="G119" s="151" t="e">
        <f t="shared" si="7"/>
        <v>#DIV/0!</v>
      </c>
      <c r="H119" s="21"/>
      <c r="I119" s="21"/>
    </row>
    <row r="120" spans="1:9" s="4" customFormat="1" ht="34.5" customHeight="1">
      <c r="A120" s="70" t="s">
        <v>587</v>
      </c>
      <c r="B120" s="85"/>
      <c r="C120" s="14">
        <v>2.9</v>
      </c>
      <c r="D120" s="36"/>
      <c r="E120" s="36"/>
      <c r="F120" s="10">
        <f t="shared" si="6"/>
        <v>0</v>
      </c>
      <c r="G120" s="151" t="e">
        <f t="shared" si="7"/>
        <v>#DIV/0!</v>
      </c>
      <c r="H120" s="21"/>
      <c r="I120" s="21"/>
    </row>
    <row r="121" spans="1:9" s="4" customFormat="1" ht="30.75" customHeight="1">
      <c r="A121" s="70" t="s">
        <v>588</v>
      </c>
      <c r="B121" s="85"/>
      <c r="C121" s="14">
        <v>0.7</v>
      </c>
      <c r="D121" s="36"/>
      <c r="E121" s="36"/>
      <c r="F121" s="10">
        <f t="shared" si="6"/>
        <v>0</v>
      </c>
      <c r="G121" s="151" t="e">
        <f t="shared" si="7"/>
        <v>#DIV/0!</v>
      </c>
      <c r="H121" s="21"/>
      <c r="I121" s="21"/>
    </row>
    <row r="122" spans="1:9" s="4" customFormat="1" ht="31.5" customHeight="1">
      <c r="A122" s="70" t="s">
        <v>589</v>
      </c>
      <c r="B122" s="85"/>
      <c r="C122" s="14">
        <v>1.2</v>
      </c>
      <c r="D122" s="36"/>
      <c r="E122" s="36"/>
      <c r="F122" s="10">
        <f t="shared" si="6"/>
        <v>0</v>
      </c>
      <c r="G122" s="151" t="e">
        <f t="shared" si="7"/>
        <v>#DIV/0!</v>
      </c>
      <c r="H122" s="21"/>
      <c r="I122" s="21"/>
    </row>
    <row r="123" spans="1:9" s="4" customFormat="1" ht="34.5" customHeight="1">
      <c r="A123" s="70" t="s">
        <v>590</v>
      </c>
      <c r="B123" s="85"/>
      <c r="C123" s="14">
        <v>0.2</v>
      </c>
      <c r="D123" s="36"/>
      <c r="E123" s="36"/>
      <c r="F123" s="10">
        <f t="shared" si="6"/>
        <v>0</v>
      </c>
      <c r="G123" s="151" t="e">
        <f t="shared" si="7"/>
        <v>#DIV/0!</v>
      </c>
      <c r="H123" s="21"/>
      <c r="I123" s="21"/>
    </row>
    <row r="124" spans="1:9" s="4" customFormat="1" ht="30" customHeight="1">
      <c r="A124" s="70" t="s">
        <v>591</v>
      </c>
      <c r="B124" s="85"/>
      <c r="C124" s="14">
        <v>4.5</v>
      </c>
      <c r="D124" s="36"/>
      <c r="E124" s="36"/>
      <c r="F124" s="10">
        <f t="shared" si="6"/>
        <v>0</v>
      </c>
      <c r="G124" s="151" t="e">
        <f t="shared" si="7"/>
        <v>#DIV/0!</v>
      </c>
      <c r="H124" s="21"/>
      <c r="I124" s="21"/>
    </row>
    <row r="125" spans="1:9" s="4" customFormat="1" ht="34.5" customHeight="1">
      <c r="A125" s="70" t="s">
        <v>592</v>
      </c>
      <c r="B125" s="85"/>
      <c r="C125" s="14">
        <v>1.2</v>
      </c>
      <c r="D125" s="36"/>
      <c r="E125" s="36"/>
      <c r="F125" s="10">
        <f t="shared" si="6"/>
        <v>0</v>
      </c>
      <c r="G125" s="151" t="e">
        <f t="shared" si="7"/>
        <v>#DIV/0!</v>
      </c>
      <c r="H125" s="21"/>
      <c r="I125" s="21"/>
    </row>
    <row r="126" spans="1:9" s="4" customFormat="1" ht="36.75" customHeight="1">
      <c r="A126" s="70" t="s">
        <v>593</v>
      </c>
      <c r="B126" s="85"/>
      <c r="C126" s="14">
        <v>0.7</v>
      </c>
      <c r="D126" s="36"/>
      <c r="E126" s="36"/>
      <c r="F126" s="10">
        <f t="shared" si="6"/>
        <v>0</v>
      </c>
      <c r="G126" s="151" t="e">
        <f t="shared" si="7"/>
        <v>#DIV/0!</v>
      </c>
      <c r="H126" s="21"/>
      <c r="I126" s="21"/>
    </row>
    <row r="127" spans="1:9" s="4" customFormat="1" ht="30.75" customHeight="1">
      <c r="A127" s="70" t="s">
        <v>594</v>
      </c>
      <c r="B127" s="85"/>
      <c r="C127" s="14">
        <v>1</v>
      </c>
      <c r="D127" s="36"/>
      <c r="E127" s="36"/>
      <c r="F127" s="10">
        <f t="shared" si="6"/>
        <v>0</v>
      </c>
      <c r="G127" s="151" t="e">
        <f t="shared" si="7"/>
        <v>#DIV/0!</v>
      </c>
      <c r="H127" s="21"/>
      <c r="I127" s="21"/>
    </row>
    <row r="128" spans="1:9" s="4" customFormat="1" ht="28.5" customHeight="1">
      <c r="A128" s="70" t="s">
        <v>595</v>
      </c>
      <c r="B128" s="85"/>
      <c r="C128" s="14">
        <v>14.7</v>
      </c>
      <c r="D128" s="36"/>
      <c r="E128" s="36"/>
      <c r="F128" s="10">
        <f t="shared" si="6"/>
        <v>0</v>
      </c>
      <c r="G128" s="151" t="e">
        <f t="shared" si="7"/>
        <v>#DIV/0!</v>
      </c>
      <c r="H128" s="21"/>
      <c r="I128" s="21"/>
    </row>
    <row r="129" spans="1:9" s="4" customFormat="1" ht="31.5" customHeight="1">
      <c r="A129" s="70" t="s">
        <v>596</v>
      </c>
      <c r="B129" s="85"/>
      <c r="C129" s="14">
        <v>17.399999999999999</v>
      </c>
      <c r="D129" s="36"/>
      <c r="E129" s="36"/>
      <c r="F129" s="10">
        <f t="shared" si="6"/>
        <v>0</v>
      </c>
      <c r="G129" s="151" t="e">
        <f t="shared" si="7"/>
        <v>#DIV/0!</v>
      </c>
      <c r="H129" s="21"/>
      <c r="I129" s="21"/>
    </row>
    <row r="130" spans="1:9" s="4" customFormat="1" ht="33.75" customHeight="1">
      <c r="A130" s="70" t="s">
        <v>597</v>
      </c>
      <c r="B130" s="85"/>
      <c r="C130" s="14">
        <v>18.8</v>
      </c>
      <c r="D130" s="36"/>
      <c r="E130" s="36"/>
      <c r="F130" s="10">
        <f t="shared" si="6"/>
        <v>0</v>
      </c>
      <c r="G130" s="151" t="e">
        <f t="shared" si="7"/>
        <v>#DIV/0!</v>
      </c>
      <c r="H130" s="21"/>
      <c r="I130" s="21"/>
    </row>
    <row r="131" spans="1:9" s="4" customFormat="1" ht="33" customHeight="1">
      <c r="A131" s="70" t="s">
        <v>598</v>
      </c>
      <c r="B131" s="85"/>
      <c r="C131" s="14">
        <v>6.9</v>
      </c>
      <c r="D131" s="36"/>
      <c r="E131" s="36"/>
      <c r="F131" s="10">
        <f t="shared" si="6"/>
        <v>0</v>
      </c>
      <c r="G131" s="151" t="e">
        <f t="shared" si="7"/>
        <v>#DIV/0!</v>
      </c>
      <c r="H131" s="21"/>
      <c r="I131" s="21"/>
    </row>
    <row r="132" spans="1:9" s="4" customFormat="1" ht="43.5" customHeight="1">
      <c r="A132" s="70" t="s">
        <v>599</v>
      </c>
      <c r="B132" s="85"/>
      <c r="C132" s="14">
        <v>29.8</v>
      </c>
      <c r="D132" s="36"/>
      <c r="E132" s="36"/>
      <c r="F132" s="10">
        <f t="shared" si="6"/>
        <v>0</v>
      </c>
      <c r="G132" s="151" t="e">
        <f t="shared" si="7"/>
        <v>#DIV/0!</v>
      </c>
      <c r="H132" s="21"/>
      <c r="I132" s="21"/>
    </row>
    <row r="133" spans="1:9" s="4" customFormat="1" ht="43.5" customHeight="1">
      <c r="A133" s="70" t="s">
        <v>600</v>
      </c>
      <c r="B133" s="85"/>
      <c r="C133" s="14">
        <v>12.4</v>
      </c>
      <c r="D133" s="36"/>
      <c r="E133" s="36"/>
      <c r="F133" s="10">
        <f t="shared" si="6"/>
        <v>0</v>
      </c>
      <c r="G133" s="151" t="e">
        <f t="shared" si="7"/>
        <v>#DIV/0!</v>
      </c>
      <c r="H133" s="21"/>
      <c r="I133" s="21"/>
    </row>
    <row r="134" spans="1:9" s="4" customFormat="1" ht="43.5" customHeight="1">
      <c r="A134" s="70" t="s">
        <v>601</v>
      </c>
      <c r="B134" s="85"/>
      <c r="C134" s="14">
        <v>5.2</v>
      </c>
      <c r="D134" s="36"/>
      <c r="E134" s="36"/>
      <c r="F134" s="10">
        <f t="shared" si="6"/>
        <v>0</v>
      </c>
      <c r="G134" s="151" t="e">
        <f t="shared" si="7"/>
        <v>#DIV/0!</v>
      </c>
      <c r="H134" s="21"/>
      <c r="I134" s="21"/>
    </row>
    <row r="135" spans="1:9" s="4" customFormat="1" ht="43.5" customHeight="1">
      <c r="A135" s="70" t="s">
        <v>602</v>
      </c>
      <c r="B135" s="85"/>
      <c r="C135" s="14">
        <v>12.4</v>
      </c>
      <c r="D135" s="36"/>
      <c r="E135" s="36"/>
      <c r="F135" s="10">
        <f t="shared" si="6"/>
        <v>0</v>
      </c>
      <c r="G135" s="151" t="e">
        <f t="shared" si="7"/>
        <v>#DIV/0!</v>
      </c>
      <c r="H135" s="21"/>
      <c r="I135" s="21"/>
    </row>
    <row r="136" spans="1:9" s="4" customFormat="1" ht="43.5" customHeight="1">
      <c r="A136" s="70" t="s">
        <v>603</v>
      </c>
      <c r="B136" s="85"/>
      <c r="C136" s="14">
        <v>5.2</v>
      </c>
      <c r="D136" s="36"/>
      <c r="E136" s="36"/>
      <c r="F136" s="10">
        <f t="shared" si="6"/>
        <v>0</v>
      </c>
      <c r="G136" s="151" t="e">
        <f t="shared" si="7"/>
        <v>#DIV/0!</v>
      </c>
      <c r="H136" s="21"/>
      <c r="I136" s="21"/>
    </row>
    <row r="137" spans="1:9" s="4" customFormat="1" ht="43.5" customHeight="1">
      <c r="A137" s="70" t="s">
        <v>604</v>
      </c>
      <c r="B137" s="85"/>
      <c r="C137" s="14">
        <v>7</v>
      </c>
      <c r="D137" s="36"/>
      <c r="E137" s="36"/>
      <c r="F137" s="10">
        <f t="shared" si="6"/>
        <v>0</v>
      </c>
      <c r="G137" s="151" t="e">
        <f t="shared" si="7"/>
        <v>#DIV/0!</v>
      </c>
      <c r="H137" s="21"/>
      <c r="I137" s="21"/>
    </row>
    <row r="138" spans="1:9" s="4" customFormat="1" ht="43.5" customHeight="1">
      <c r="A138" s="70" t="s">
        <v>605</v>
      </c>
      <c r="B138" s="85"/>
      <c r="C138" s="14">
        <v>2.9</v>
      </c>
      <c r="D138" s="36"/>
      <c r="E138" s="36"/>
      <c r="F138" s="10">
        <f t="shared" si="6"/>
        <v>0</v>
      </c>
      <c r="G138" s="151" t="e">
        <f t="shared" si="7"/>
        <v>#DIV/0!</v>
      </c>
      <c r="H138" s="21"/>
      <c r="I138" s="21"/>
    </row>
    <row r="139" spans="1:9" s="4" customFormat="1" ht="43.5" customHeight="1">
      <c r="A139" s="70" t="s">
        <v>606</v>
      </c>
      <c r="B139" s="85"/>
      <c r="C139" s="14">
        <v>11</v>
      </c>
      <c r="D139" s="36"/>
      <c r="E139" s="36"/>
      <c r="F139" s="10">
        <f t="shared" si="6"/>
        <v>0</v>
      </c>
      <c r="G139" s="151" t="e">
        <f t="shared" si="7"/>
        <v>#DIV/0!</v>
      </c>
      <c r="H139" s="21"/>
      <c r="I139" s="21"/>
    </row>
    <row r="140" spans="1:9" s="4" customFormat="1" ht="34.5" customHeight="1">
      <c r="A140" s="70" t="s">
        <v>607</v>
      </c>
      <c r="B140" s="85"/>
      <c r="C140" s="14">
        <v>1.6</v>
      </c>
      <c r="D140" s="36"/>
      <c r="E140" s="36"/>
      <c r="F140" s="10">
        <f t="shared" si="6"/>
        <v>0</v>
      </c>
      <c r="G140" s="151" t="e">
        <f t="shared" si="7"/>
        <v>#DIV/0!</v>
      </c>
      <c r="H140" s="21"/>
      <c r="I140" s="21"/>
    </row>
    <row r="141" spans="1:9" s="4" customFormat="1" ht="33.75" customHeight="1">
      <c r="A141" s="70" t="s">
        <v>608</v>
      </c>
      <c r="B141" s="85"/>
      <c r="C141" s="14">
        <v>4.8</v>
      </c>
      <c r="D141" s="36"/>
      <c r="E141" s="36"/>
      <c r="F141" s="10">
        <f t="shared" si="6"/>
        <v>0</v>
      </c>
      <c r="G141" s="151" t="e">
        <f t="shared" si="7"/>
        <v>#DIV/0!</v>
      </c>
      <c r="H141" s="21"/>
      <c r="I141" s="21"/>
    </row>
    <row r="142" spans="1:9" s="4" customFormat="1" ht="33.75" customHeight="1">
      <c r="A142" s="70" t="s">
        <v>609</v>
      </c>
      <c r="B142" s="85"/>
      <c r="C142" s="14">
        <v>14.3</v>
      </c>
      <c r="D142" s="36"/>
      <c r="E142" s="36"/>
      <c r="F142" s="10">
        <f t="shared" si="6"/>
        <v>0</v>
      </c>
      <c r="G142" s="151" t="e">
        <f t="shared" si="7"/>
        <v>#DIV/0!</v>
      </c>
      <c r="H142" s="21"/>
      <c r="I142" s="21"/>
    </row>
    <row r="143" spans="1:9" s="4" customFormat="1" ht="33" customHeight="1">
      <c r="A143" s="70" t="s">
        <v>610</v>
      </c>
      <c r="B143" s="85"/>
      <c r="C143" s="14">
        <v>1.4</v>
      </c>
      <c r="D143" s="36"/>
      <c r="E143" s="36"/>
      <c r="F143" s="10">
        <f t="shared" si="6"/>
        <v>0</v>
      </c>
      <c r="G143" s="151" t="e">
        <f t="shared" si="7"/>
        <v>#DIV/0!</v>
      </c>
      <c r="H143" s="21"/>
      <c r="I143" s="21"/>
    </row>
    <row r="144" spans="1:9" s="4" customFormat="1" ht="35.25" customHeight="1">
      <c r="A144" s="70" t="s">
        <v>611</v>
      </c>
      <c r="B144" s="85"/>
      <c r="C144" s="14">
        <v>99</v>
      </c>
      <c r="D144" s="36"/>
      <c r="E144" s="36"/>
      <c r="F144" s="10">
        <f t="shared" si="6"/>
        <v>0</v>
      </c>
      <c r="G144" s="151" t="e">
        <f t="shared" si="7"/>
        <v>#DIV/0!</v>
      </c>
      <c r="H144" s="21"/>
      <c r="I144" s="21"/>
    </row>
    <row r="145" spans="1:9" s="4" customFormat="1" ht="33" customHeight="1">
      <c r="A145" s="70" t="s">
        <v>612</v>
      </c>
      <c r="B145" s="85"/>
      <c r="C145" s="14">
        <v>3.4</v>
      </c>
      <c r="D145" s="36"/>
      <c r="E145" s="36"/>
      <c r="F145" s="10">
        <f t="shared" si="6"/>
        <v>0</v>
      </c>
      <c r="G145" s="151" t="e">
        <f t="shared" si="7"/>
        <v>#DIV/0!</v>
      </c>
      <c r="H145" s="21"/>
      <c r="I145" s="21"/>
    </row>
    <row r="146" spans="1:9" s="4" customFormat="1" ht="31.5" customHeight="1">
      <c r="A146" s="70" t="s">
        <v>613</v>
      </c>
      <c r="B146" s="85"/>
      <c r="C146" s="14">
        <v>2.2000000000000002</v>
      </c>
      <c r="D146" s="36"/>
      <c r="E146" s="36"/>
      <c r="F146" s="10">
        <f t="shared" si="6"/>
        <v>0</v>
      </c>
      <c r="G146" s="151" t="e">
        <f t="shared" si="7"/>
        <v>#DIV/0!</v>
      </c>
      <c r="H146" s="21"/>
      <c r="I146" s="21"/>
    </row>
    <row r="147" spans="1:9" s="4" customFormat="1" ht="31.5" customHeight="1">
      <c r="A147" s="70" t="s">
        <v>614</v>
      </c>
      <c r="B147" s="85"/>
      <c r="C147" s="14">
        <v>3.6</v>
      </c>
      <c r="D147" s="36"/>
      <c r="E147" s="36"/>
      <c r="F147" s="10">
        <f t="shared" si="6"/>
        <v>0</v>
      </c>
      <c r="G147" s="151" t="e">
        <f t="shared" si="7"/>
        <v>#DIV/0!</v>
      </c>
      <c r="H147" s="21"/>
      <c r="I147" s="21"/>
    </row>
    <row r="148" spans="1:9" s="4" customFormat="1" ht="33.75" customHeight="1">
      <c r="A148" s="70" t="s">
        <v>615</v>
      </c>
      <c r="B148" s="85"/>
      <c r="C148" s="14">
        <v>0.3</v>
      </c>
      <c r="D148" s="36"/>
      <c r="E148" s="36"/>
      <c r="F148" s="10">
        <f t="shared" si="6"/>
        <v>0</v>
      </c>
      <c r="G148" s="151" t="e">
        <f t="shared" si="7"/>
        <v>#DIV/0!</v>
      </c>
      <c r="H148" s="21"/>
      <c r="I148" s="21"/>
    </row>
    <row r="149" spans="1:9" s="4" customFormat="1" ht="33.75" customHeight="1">
      <c r="A149" s="70" t="s">
        <v>616</v>
      </c>
      <c r="B149" s="85"/>
      <c r="C149" s="14">
        <v>1</v>
      </c>
      <c r="D149" s="36"/>
      <c r="E149" s="36"/>
      <c r="F149" s="10">
        <f t="shared" si="6"/>
        <v>0</v>
      </c>
      <c r="G149" s="151" t="e">
        <f t="shared" si="7"/>
        <v>#DIV/0!</v>
      </c>
      <c r="H149" s="21"/>
      <c r="I149" s="21"/>
    </row>
    <row r="150" spans="1:9" s="4" customFormat="1" ht="33.75" customHeight="1">
      <c r="A150" s="70" t="s">
        <v>617</v>
      </c>
      <c r="B150" s="85"/>
      <c r="C150" s="14">
        <v>1.3</v>
      </c>
      <c r="D150" s="36"/>
      <c r="E150" s="36"/>
      <c r="F150" s="10">
        <f t="shared" si="6"/>
        <v>0</v>
      </c>
      <c r="G150" s="151" t="e">
        <f t="shared" si="7"/>
        <v>#DIV/0!</v>
      </c>
      <c r="H150" s="21"/>
      <c r="I150" s="21"/>
    </row>
    <row r="151" spans="1:9" s="4" customFormat="1" ht="31.5" customHeight="1">
      <c r="A151" s="19" t="s">
        <v>618</v>
      </c>
      <c r="B151" s="85"/>
      <c r="C151" s="14">
        <v>1.2</v>
      </c>
      <c r="D151" s="36"/>
      <c r="E151" s="36"/>
      <c r="F151" s="10">
        <f t="shared" si="6"/>
        <v>0</v>
      </c>
      <c r="G151" s="151" t="e">
        <f t="shared" si="7"/>
        <v>#DIV/0!</v>
      </c>
      <c r="H151" s="21"/>
    </row>
    <row r="152" spans="1:9" s="4" customFormat="1" ht="33" customHeight="1">
      <c r="A152" s="19" t="s">
        <v>619</v>
      </c>
      <c r="B152" s="85"/>
      <c r="C152" s="14">
        <v>5.2</v>
      </c>
      <c r="D152" s="36"/>
      <c r="E152" s="36"/>
      <c r="F152" s="10">
        <f t="shared" si="6"/>
        <v>0</v>
      </c>
      <c r="G152" s="151" t="e">
        <f t="shared" si="7"/>
        <v>#DIV/0!</v>
      </c>
      <c r="H152" s="21"/>
    </row>
    <row r="153" spans="1:9" s="4" customFormat="1" ht="30" customHeight="1">
      <c r="A153" s="168" t="s">
        <v>620</v>
      </c>
      <c r="B153" s="85"/>
      <c r="C153" s="14">
        <v>4</v>
      </c>
      <c r="D153" s="36"/>
      <c r="E153" s="36"/>
      <c r="F153" s="10">
        <f t="shared" si="6"/>
        <v>0</v>
      </c>
      <c r="G153" s="151" t="e">
        <f t="shared" si="7"/>
        <v>#DIV/0!</v>
      </c>
      <c r="H153" s="21"/>
    </row>
    <row r="154" spans="1:9" s="4" customFormat="1" ht="35.25" customHeight="1">
      <c r="A154" s="168" t="s">
        <v>621</v>
      </c>
      <c r="B154" s="85"/>
      <c r="C154" s="14">
        <v>5.3</v>
      </c>
      <c r="D154" s="36"/>
      <c r="E154" s="36"/>
      <c r="F154" s="10">
        <f t="shared" si="6"/>
        <v>0</v>
      </c>
      <c r="G154" s="151" t="e">
        <f t="shared" si="7"/>
        <v>#DIV/0!</v>
      </c>
      <c r="H154" s="21"/>
    </row>
    <row r="155" spans="1:9" s="4" customFormat="1" ht="27.75" customHeight="1">
      <c r="A155" s="19" t="s">
        <v>622</v>
      </c>
      <c r="B155" s="85"/>
      <c r="C155" s="14">
        <v>3.4</v>
      </c>
      <c r="D155" s="36"/>
      <c r="E155" s="36"/>
      <c r="F155" s="10">
        <f t="shared" si="6"/>
        <v>0</v>
      </c>
      <c r="G155" s="151" t="e">
        <f t="shared" si="7"/>
        <v>#DIV/0!</v>
      </c>
      <c r="H155" s="21"/>
    </row>
    <row r="156" spans="1:9" s="4" customFormat="1" ht="27.75" customHeight="1">
      <c r="A156" s="19" t="s">
        <v>623</v>
      </c>
      <c r="B156" s="85"/>
      <c r="C156" s="14">
        <v>2.5</v>
      </c>
      <c r="D156" s="36"/>
      <c r="E156" s="36"/>
      <c r="F156" s="10">
        <f t="shared" si="6"/>
        <v>0</v>
      </c>
      <c r="G156" s="151" t="e">
        <f t="shared" si="7"/>
        <v>#DIV/0!</v>
      </c>
      <c r="H156" s="21"/>
    </row>
    <row r="157" spans="1:9" s="4" customFormat="1" ht="38.25" customHeight="1">
      <c r="A157" s="168" t="s">
        <v>624</v>
      </c>
      <c r="B157" s="85"/>
      <c r="C157" s="14">
        <v>18.399999999999999</v>
      </c>
      <c r="D157" s="36"/>
      <c r="E157" s="36"/>
      <c r="F157" s="10">
        <f t="shared" si="6"/>
        <v>0</v>
      </c>
      <c r="G157" s="151" t="e">
        <f t="shared" si="7"/>
        <v>#DIV/0!</v>
      </c>
      <c r="H157" s="21"/>
    </row>
    <row r="158" spans="1:9" s="4" customFormat="1" ht="30" customHeight="1">
      <c r="A158" s="168" t="s">
        <v>625</v>
      </c>
      <c r="B158" s="85"/>
      <c r="C158" s="14">
        <v>1.4</v>
      </c>
      <c r="D158" s="36"/>
      <c r="E158" s="36"/>
      <c r="F158" s="10">
        <f t="shared" si="6"/>
        <v>0</v>
      </c>
      <c r="G158" s="151" t="e">
        <f t="shared" si="7"/>
        <v>#DIV/0!</v>
      </c>
      <c r="H158" s="21"/>
    </row>
    <row r="159" spans="1:9" s="4" customFormat="1" ht="39.75" customHeight="1">
      <c r="A159" s="168" t="s">
        <v>626</v>
      </c>
      <c r="B159" s="85"/>
      <c r="C159" s="14">
        <v>13.2</v>
      </c>
      <c r="D159" s="36"/>
      <c r="E159" s="36"/>
      <c r="F159" s="10">
        <f t="shared" si="6"/>
        <v>0</v>
      </c>
      <c r="G159" s="151" t="e">
        <f t="shared" si="7"/>
        <v>#DIV/0!</v>
      </c>
      <c r="H159" s="21"/>
    </row>
    <row r="160" spans="1:9" s="4" customFormat="1" ht="30.75" customHeight="1">
      <c r="A160" s="168" t="s">
        <v>627</v>
      </c>
      <c r="B160" s="85"/>
      <c r="C160" s="14">
        <v>13.4</v>
      </c>
      <c r="D160" s="36"/>
      <c r="E160" s="36"/>
      <c r="F160" s="10">
        <f t="shared" si="6"/>
        <v>0</v>
      </c>
      <c r="G160" s="151" t="e">
        <f t="shared" si="7"/>
        <v>#DIV/0!</v>
      </c>
      <c r="H160" s="21"/>
    </row>
    <row r="161" spans="1:8" s="4" customFormat="1" ht="28.5" customHeight="1">
      <c r="A161" s="168" t="s">
        <v>628</v>
      </c>
      <c r="B161" s="85"/>
      <c r="C161" s="14">
        <v>16</v>
      </c>
      <c r="D161" s="36"/>
      <c r="E161" s="36"/>
      <c r="F161" s="10">
        <f t="shared" si="6"/>
        <v>0</v>
      </c>
      <c r="G161" s="151" t="e">
        <f t="shared" si="7"/>
        <v>#DIV/0!</v>
      </c>
      <c r="H161" s="21"/>
    </row>
    <row r="162" spans="1:8" s="4" customFormat="1" ht="38.25" customHeight="1">
      <c r="A162" s="168" t="s">
        <v>629</v>
      </c>
      <c r="B162" s="85"/>
      <c r="C162" s="14">
        <v>287.60000000000002</v>
      </c>
      <c r="D162" s="36"/>
      <c r="E162" s="36"/>
      <c r="F162" s="10">
        <f t="shared" si="6"/>
        <v>0</v>
      </c>
      <c r="G162" s="151" t="e">
        <f t="shared" si="7"/>
        <v>#DIV/0!</v>
      </c>
      <c r="H162" s="21"/>
    </row>
    <row r="163" spans="1:8" s="4" customFormat="1" ht="31.5" customHeight="1">
      <c r="A163" s="19" t="s">
        <v>630</v>
      </c>
      <c r="B163" s="85"/>
      <c r="C163" s="14">
        <v>185.5</v>
      </c>
      <c r="D163" s="36"/>
      <c r="E163" s="36"/>
      <c r="F163" s="10">
        <f t="shared" si="6"/>
        <v>0</v>
      </c>
      <c r="G163" s="151" t="e">
        <f t="shared" si="7"/>
        <v>#DIV/0!</v>
      </c>
      <c r="H163" s="21"/>
    </row>
    <row r="164" spans="1:8" s="4" customFormat="1" ht="28.5" customHeight="1">
      <c r="A164" s="19" t="s">
        <v>631</v>
      </c>
      <c r="B164" s="85"/>
      <c r="C164" s="14">
        <v>144.30000000000001</v>
      </c>
      <c r="D164" s="36"/>
      <c r="E164" s="36"/>
      <c r="F164" s="10">
        <f t="shared" ref="F164:F227" si="8">E164-D164</f>
        <v>0</v>
      </c>
      <c r="G164" s="151" t="e">
        <f t="shared" ref="G164:G227" si="9">(E164/D164)*100</f>
        <v>#DIV/0!</v>
      </c>
      <c r="H164" s="21"/>
    </row>
    <row r="165" spans="1:8" s="4" customFormat="1" ht="44.25" customHeight="1">
      <c r="A165" s="168" t="s">
        <v>632</v>
      </c>
      <c r="B165" s="85"/>
      <c r="C165" s="14">
        <v>226.1</v>
      </c>
      <c r="D165" s="36"/>
      <c r="E165" s="36"/>
      <c r="F165" s="10">
        <f t="shared" si="8"/>
        <v>0</v>
      </c>
      <c r="G165" s="151" t="e">
        <f t="shared" si="9"/>
        <v>#DIV/0!</v>
      </c>
      <c r="H165" s="21"/>
    </row>
    <row r="166" spans="1:8" s="4" customFormat="1" ht="45.75" customHeight="1">
      <c r="A166" s="168" t="s">
        <v>633</v>
      </c>
      <c r="B166" s="85"/>
      <c r="C166" s="14">
        <v>51</v>
      </c>
      <c r="D166" s="36"/>
      <c r="E166" s="36"/>
      <c r="F166" s="10">
        <f t="shared" si="8"/>
        <v>0</v>
      </c>
      <c r="G166" s="151" t="e">
        <f t="shared" si="9"/>
        <v>#DIV/0!</v>
      </c>
      <c r="H166" s="21"/>
    </row>
    <row r="167" spans="1:8" s="4" customFormat="1" ht="30.75" customHeight="1">
      <c r="A167" s="168" t="s">
        <v>634</v>
      </c>
      <c r="B167" s="85"/>
      <c r="C167" s="14">
        <v>44.4</v>
      </c>
      <c r="D167" s="36"/>
      <c r="E167" s="36"/>
      <c r="F167" s="10">
        <f t="shared" si="8"/>
        <v>0</v>
      </c>
      <c r="G167" s="151" t="e">
        <f t="shared" si="9"/>
        <v>#DIV/0!</v>
      </c>
      <c r="H167" s="21"/>
    </row>
    <row r="168" spans="1:8" s="4" customFormat="1" ht="29.25" customHeight="1">
      <c r="A168" s="19" t="s">
        <v>635</v>
      </c>
      <c r="B168" s="85"/>
      <c r="C168" s="14">
        <v>8.1</v>
      </c>
      <c r="D168" s="36"/>
      <c r="E168" s="36"/>
      <c r="F168" s="10">
        <f t="shared" si="8"/>
        <v>0</v>
      </c>
      <c r="G168" s="151" t="e">
        <f t="shared" si="9"/>
        <v>#DIV/0!</v>
      </c>
      <c r="H168" s="21"/>
    </row>
    <row r="169" spans="1:8" s="4" customFormat="1" ht="30" customHeight="1">
      <c r="A169" s="19" t="s">
        <v>636</v>
      </c>
      <c r="B169" s="85"/>
      <c r="C169" s="14">
        <v>2</v>
      </c>
      <c r="D169" s="36"/>
      <c r="E169" s="36"/>
      <c r="F169" s="10">
        <f t="shared" si="8"/>
        <v>0</v>
      </c>
      <c r="G169" s="151" t="e">
        <f t="shared" si="9"/>
        <v>#DIV/0!</v>
      </c>
      <c r="H169" s="21"/>
    </row>
    <row r="170" spans="1:8" s="4" customFormat="1" ht="26.25" customHeight="1">
      <c r="A170" s="168" t="s">
        <v>297</v>
      </c>
      <c r="B170" s="85"/>
      <c r="C170" s="14"/>
      <c r="D170" s="36"/>
      <c r="E170" s="14">
        <v>8.3000000000000007</v>
      </c>
      <c r="F170" s="10">
        <f t="shared" si="8"/>
        <v>8.3000000000000007</v>
      </c>
      <c r="G170" s="151" t="e">
        <f t="shared" si="9"/>
        <v>#DIV/0!</v>
      </c>
      <c r="H170" s="21"/>
    </row>
    <row r="171" spans="1:8" s="4" customFormat="1" ht="26.25" customHeight="1">
      <c r="A171" s="168" t="s">
        <v>290</v>
      </c>
      <c r="B171" s="85"/>
      <c r="C171" s="14"/>
      <c r="D171" s="36"/>
      <c r="E171" s="14">
        <v>12.5</v>
      </c>
      <c r="F171" s="10">
        <f t="shared" si="8"/>
        <v>12.5</v>
      </c>
      <c r="G171" s="151" t="e">
        <f t="shared" si="9"/>
        <v>#DIV/0!</v>
      </c>
      <c r="H171" s="21"/>
    </row>
    <row r="172" spans="1:8" s="4" customFormat="1" ht="26.25" customHeight="1">
      <c r="A172" s="183" t="s">
        <v>282</v>
      </c>
      <c r="B172" s="85"/>
      <c r="C172" s="146"/>
      <c r="D172" s="36"/>
      <c r="E172" s="14">
        <v>59.9</v>
      </c>
      <c r="F172" s="10">
        <f t="shared" si="8"/>
        <v>59.9</v>
      </c>
      <c r="G172" s="151" t="e">
        <f t="shared" si="9"/>
        <v>#DIV/0!</v>
      </c>
      <c r="H172" s="21"/>
    </row>
    <row r="173" spans="1:8" s="4" customFormat="1" ht="38.25" customHeight="1">
      <c r="A173" s="184" t="s">
        <v>283</v>
      </c>
      <c r="B173" s="85"/>
      <c r="C173" s="146"/>
      <c r="D173" s="36"/>
      <c r="E173" s="14">
        <v>29.4</v>
      </c>
      <c r="F173" s="10">
        <f t="shared" si="8"/>
        <v>29.4</v>
      </c>
      <c r="G173" s="151" t="e">
        <f t="shared" si="9"/>
        <v>#DIV/0!</v>
      </c>
      <c r="H173" s="21"/>
    </row>
    <row r="174" spans="1:8" s="4" customFormat="1" ht="38.25" customHeight="1">
      <c r="A174" s="184" t="s">
        <v>284</v>
      </c>
      <c r="B174" s="85"/>
      <c r="C174" s="146"/>
      <c r="D174" s="36"/>
      <c r="E174" s="14">
        <v>4.9000000000000004</v>
      </c>
      <c r="F174" s="10">
        <f t="shared" si="8"/>
        <v>4.9000000000000004</v>
      </c>
      <c r="G174" s="151" t="e">
        <f t="shared" si="9"/>
        <v>#DIV/0!</v>
      </c>
      <c r="H174" s="21"/>
    </row>
    <row r="175" spans="1:8" s="4" customFormat="1" ht="26.25" customHeight="1">
      <c r="A175" s="184" t="s">
        <v>285</v>
      </c>
      <c r="B175" s="85"/>
      <c r="C175" s="146"/>
      <c r="D175" s="36"/>
      <c r="E175" s="14">
        <v>20.9</v>
      </c>
      <c r="F175" s="10">
        <f t="shared" si="8"/>
        <v>20.9</v>
      </c>
      <c r="G175" s="151" t="e">
        <f t="shared" si="9"/>
        <v>#DIV/0!</v>
      </c>
      <c r="H175" s="21"/>
    </row>
    <row r="176" spans="1:8" s="4" customFormat="1" ht="26.25" customHeight="1">
      <c r="A176" s="183" t="s">
        <v>286</v>
      </c>
      <c r="B176" s="85"/>
      <c r="C176" s="146"/>
      <c r="D176" s="36"/>
      <c r="E176" s="14">
        <v>0.2</v>
      </c>
      <c r="F176" s="10">
        <f t="shared" si="8"/>
        <v>0.2</v>
      </c>
      <c r="G176" s="151" t="e">
        <f t="shared" si="9"/>
        <v>#DIV/0!</v>
      </c>
      <c r="H176" s="21"/>
    </row>
    <row r="177" spans="1:8" s="4" customFormat="1" ht="26.25" customHeight="1">
      <c r="A177" s="168" t="s">
        <v>293</v>
      </c>
      <c r="B177" s="85"/>
      <c r="C177" s="14"/>
      <c r="D177" s="36"/>
      <c r="E177" s="14">
        <v>13.9</v>
      </c>
      <c r="F177" s="10">
        <f t="shared" si="8"/>
        <v>13.9</v>
      </c>
      <c r="G177" s="151" t="e">
        <f t="shared" si="9"/>
        <v>#DIV/0!</v>
      </c>
      <c r="H177" s="21"/>
    </row>
    <row r="178" spans="1:8" s="4" customFormat="1" ht="26.25" customHeight="1">
      <c r="A178" s="168" t="s">
        <v>331</v>
      </c>
      <c r="B178" s="85"/>
      <c r="C178" s="146"/>
      <c r="D178" s="36"/>
      <c r="E178" s="14">
        <v>1.5</v>
      </c>
      <c r="F178" s="10">
        <f t="shared" si="8"/>
        <v>1.5</v>
      </c>
      <c r="G178" s="151" t="e">
        <f t="shared" si="9"/>
        <v>#DIV/0!</v>
      </c>
      <c r="H178" s="21"/>
    </row>
    <row r="179" spans="1:8" s="4" customFormat="1" ht="26.25" customHeight="1">
      <c r="A179" s="19" t="s">
        <v>333</v>
      </c>
      <c r="B179" s="85"/>
      <c r="C179" s="146"/>
      <c r="D179" s="36"/>
      <c r="E179" s="14">
        <v>18.899999999999999</v>
      </c>
      <c r="F179" s="10">
        <f t="shared" si="8"/>
        <v>18.899999999999999</v>
      </c>
      <c r="G179" s="151" t="e">
        <f t="shared" si="9"/>
        <v>#DIV/0!</v>
      </c>
      <c r="H179" s="21"/>
    </row>
    <row r="180" spans="1:8" s="4" customFormat="1" ht="26.25" customHeight="1">
      <c r="A180" s="19" t="s">
        <v>334</v>
      </c>
      <c r="B180" s="85"/>
      <c r="C180" s="146"/>
      <c r="D180" s="36"/>
      <c r="E180" s="14">
        <v>4.2</v>
      </c>
      <c r="F180" s="10">
        <f t="shared" si="8"/>
        <v>4.2</v>
      </c>
      <c r="G180" s="151" t="e">
        <f t="shared" si="9"/>
        <v>#DIV/0!</v>
      </c>
      <c r="H180" s="21"/>
    </row>
    <row r="181" spans="1:8" s="4" customFormat="1" ht="26.25" customHeight="1">
      <c r="A181" s="168" t="s">
        <v>357</v>
      </c>
      <c r="B181" s="85"/>
      <c r="C181" s="146"/>
      <c r="D181" s="36"/>
      <c r="E181" s="14">
        <v>2.2000000000000002</v>
      </c>
      <c r="F181" s="10">
        <f t="shared" si="8"/>
        <v>2.2000000000000002</v>
      </c>
      <c r="G181" s="151" t="e">
        <f t="shared" si="9"/>
        <v>#DIV/0!</v>
      </c>
      <c r="H181" s="21"/>
    </row>
    <row r="182" spans="1:8" s="4" customFormat="1" ht="26.25" customHeight="1">
      <c r="A182" s="19" t="s">
        <v>358</v>
      </c>
      <c r="B182" s="85"/>
      <c r="C182" s="146"/>
      <c r="D182" s="36"/>
      <c r="E182" s="14">
        <v>30</v>
      </c>
      <c r="F182" s="10">
        <f t="shared" si="8"/>
        <v>30</v>
      </c>
      <c r="G182" s="151" t="e">
        <f t="shared" si="9"/>
        <v>#DIV/0!</v>
      </c>
      <c r="H182" s="21"/>
    </row>
    <row r="183" spans="1:8" s="4" customFormat="1" ht="26.25" customHeight="1">
      <c r="A183" s="19" t="s">
        <v>359</v>
      </c>
      <c r="B183" s="85"/>
      <c r="C183" s="146"/>
      <c r="D183" s="36"/>
      <c r="E183" s="14">
        <v>4.7</v>
      </c>
      <c r="F183" s="10">
        <f t="shared" si="8"/>
        <v>4.7</v>
      </c>
      <c r="G183" s="151" t="e">
        <f t="shared" si="9"/>
        <v>#DIV/0!</v>
      </c>
      <c r="H183" s="21"/>
    </row>
    <row r="184" spans="1:8" s="4" customFormat="1" ht="26.25" customHeight="1">
      <c r="A184" s="19" t="s">
        <v>360</v>
      </c>
      <c r="B184" s="85"/>
      <c r="C184" s="146"/>
      <c r="D184" s="36"/>
      <c r="E184" s="14">
        <v>15.4</v>
      </c>
      <c r="F184" s="10">
        <f t="shared" si="8"/>
        <v>15.4</v>
      </c>
      <c r="G184" s="151" t="e">
        <f t="shared" si="9"/>
        <v>#DIV/0!</v>
      </c>
      <c r="H184" s="21"/>
    </row>
    <row r="185" spans="1:8" s="4" customFormat="1" ht="26.25" customHeight="1">
      <c r="A185" s="168" t="s">
        <v>361</v>
      </c>
      <c r="B185" s="85"/>
      <c r="C185" s="146"/>
      <c r="D185" s="36"/>
      <c r="E185" s="14">
        <v>22.4</v>
      </c>
      <c r="F185" s="10">
        <f t="shared" si="8"/>
        <v>22.4</v>
      </c>
      <c r="G185" s="151" t="e">
        <f t="shared" si="9"/>
        <v>#DIV/0!</v>
      </c>
      <c r="H185" s="21"/>
    </row>
    <row r="186" spans="1:8" s="4" customFormat="1" ht="26.25" customHeight="1">
      <c r="A186" s="19" t="s">
        <v>362</v>
      </c>
      <c r="B186" s="85"/>
      <c r="C186" s="146"/>
      <c r="D186" s="36"/>
      <c r="E186" s="14">
        <v>19.100000000000001</v>
      </c>
      <c r="F186" s="10">
        <f t="shared" si="8"/>
        <v>19.100000000000001</v>
      </c>
      <c r="G186" s="151" t="e">
        <f t="shared" si="9"/>
        <v>#DIV/0!</v>
      </c>
      <c r="H186" s="21"/>
    </row>
    <row r="187" spans="1:8" s="4" customFormat="1" ht="26.25" customHeight="1">
      <c r="A187" s="19" t="s">
        <v>363</v>
      </c>
      <c r="B187" s="85"/>
      <c r="C187" s="146"/>
      <c r="D187" s="36"/>
      <c r="E187" s="14">
        <v>17.2</v>
      </c>
      <c r="F187" s="10">
        <f t="shared" si="8"/>
        <v>17.2</v>
      </c>
      <c r="G187" s="151" t="e">
        <f t="shared" si="9"/>
        <v>#DIV/0!</v>
      </c>
      <c r="H187" s="21"/>
    </row>
    <row r="188" spans="1:8" s="4" customFormat="1" ht="26.25" customHeight="1">
      <c r="A188" s="19" t="s">
        <v>364</v>
      </c>
      <c r="B188" s="85"/>
      <c r="C188" s="146"/>
      <c r="D188" s="36"/>
      <c r="E188" s="14">
        <v>23.4</v>
      </c>
      <c r="F188" s="10">
        <f t="shared" si="8"/>
        <v>23.4</v>
      </c>
      <c r="G188" s="151" t="e">
        <f t="shared" si="9"/>
        <v>#DIV/0!</v>
      </c>
      <c r="H188" s="21"/>
    </row>
    <row r="189" spans="1:8" s="4" customFormat="1" ht="26.25" customHeight="1">
      <c r="A189" s="168" t="s">
        <v>365</v>
      </c>
      <c r="B189" s="85"/>
      <c r="C189" s="146"/>
      <c r="D189" s="36"/>
      <c r="E189" s="14">
        <v>6</v>
      </c>
      <c r="F189" s="10">
        <f t="shared" si="8"/>
        <v>6</v>
      </c>
      <c r="G189" s="151" t="e">
        <f t="shared" si="9"/>
        <v>#DIV/0!</v>
      </c>
      <c r="H189" s="21"/>
    </row>
    <row r="190" spans="1:8" s="4" customFormat="1" ht="26.25" customHeight="1">
      <c r="A190" s="19" t="s">
        <v>366</v>
      </c>
      <c r="B190" s="85"/>
      <c r="C190" s="146"/>
      <c r="D190" s="36"/>
      <c r="E190" s="14">
        <v>0.5</v>
      </c>
      <c r="F190" s="10">
        <f t="shared" si="8"/>
        <v>0.5</v>
      </c>
      <c r="G190" s="151" t="e">
        <f t="shared" si="9"/>
        <v>#DIV/0!</v>
      </c>
      <c r="H190" s="21"/>
    </row>
    <row r="191" spans="1:8" s="4" customFormat="1" ht="26.25" customHeight="1">
      <c r="A191" s="19" t="s">
        <v>367</v>
      </c>
      <c r="B191" s="85"/>
      <c r="C191" s="146"/>
      <c r="D191" s="36"/>
      <c r="E191" s="14">
        <v>1</v>
      </c>
      <c r="F191" s="10">
        <f t="shared" si="8"/>
        <v>1</v>
      </c>
      <c r="G191" s="151" t="e">
        <f t="shared" si="9"/>
        <v>#DIV/0!</v>
      </c>
      <c r="H191" s="21"/>
    </row>
    <row r="192" spans="1:8" s="4" customFormat="1" ht="26.25" customHeight="1">
      <c r="A192" s="19" t="s">
        <v>368</v>
      </c>
      <c r="B192" s="85"/>
      <c r="C192" s="146"/>
      <c r="D192" s="36"/>
      <c r="E192" s="14">
        <v>1.5</v>
      </c>
      <c r="F192" s="10">
        <f t="shared" si="8"/>
        <v>1.5</v>
      </c>
      <c r="G192" s="151" t="e">
        <f t="shared" si="9"/>
        <v>#DIV/0!</v>
      </c>
      <c r="H192" s="21"/>
    </row>
    <row r="193" spans="1:8" s="4" customFormat="1" ht="26.25" customHeight="1">
      <c r="A193" s="19" t="s">
        <v>369</v>
      </c>
      <c r="B193" s="85"/>
      <c r="C193" s="146"/>
      <c r="D193" s="36"/>
      <c r="E193" s="14">
        <v>0.1</v>
      </c>
      <c r="F193" s="10">
        <f t="shared" si="8"/>
        <v>0.1</v>
      </c>
      <c r="G193" s="151" t="e">
        <f t="shared" si="9"/>
        <v>#DIV/0!</v>
      </c>
      <c r="H193" s="21"/>
    </row>
    <row r="194" spans="1:8" s="4" customFormat="1" ht="26.25" customHeight="1">
      <c r="A194" s="19" t="s">
        <v>370</v>
      </c>
      <c r="B194" s="85"/>
      <c r="C194" s="146"/>
      <c r="D194" s="36"/>
      <c r="E194" s="14">
        <v>0.2</v>
      </c>
      <c r="F194" s="10">
        <f t="shared" si="8"/>
        <v>0.2</v>
      </c>
      <c r="G194" s="151" t="e">
        <f t="shared" si="9"/>
        <v>#DIV/0!</v>
      </c>
      <c r="H194" s="21"/>
    </row>
    <row r="195" spans="1:8" s="4" customFormat="1" ht="26.25" customHeight="1">
      <c r="A195" s="19" t="s">
        <v>371</v>
      </c>
      <c r="B195" s="85"/>
      <c r="C195" s="146"/>
      <c r="D195" s="36"/>
      <c r="E195" s="14">
        <v>11.8</v>
      </c>
      <c r="F195" s="10">
        <f t="shared" si="8"/>
        <v>11.8</v>
      </c>
      <c r="G195" s="151" t="e">
        <f t="shared" si="9"/>
        <v>#DIV/0!</v>
      </c>
      <c r="H195" s="21"/>
    </row>
    <row r="196" spans="1:8" s="4" customFormat="1" ht="26.25" customHeight="1">
      <c r="A196" s="19" t="s">
        <v>372</v>
      </c>
      <c r="B196" s="85"/>
      <c r="C196" s="146"/>
      <c r="D196" s="36"/>
      <c r="E196" s="14">
        <v>0.6</v>
      </c>
      <c r="F196" s="10">
        <f t="shared" si="8"/>
        <v>0.6</v>
      </c>
      <c r="G196" s="151" t="e">
        <f t="shared" si="9"/>
        <v>#DIV/0!</v>
      </c>
      <c r="H196" s="21"/>
    </row>
    <row r="197" spans="1:8" s="4" customFormat="1" ht="26.25" customHeight="1">
      <c r="A197" s="19" t="s">
        <v>373</v>
      </c>
      <c r="B197" s="85"/>
      <c r="C197" s="146"/>
      <c r="D197" s="36"/>
      <c r="E197" s="14">
        <v>12.5</v>
      </c>
      <c r="F197" s="10">
        <f t="shared" si="8"/>
        <v>12.5</v>
      </c>
      <c r="G197" s="151" t="e">
        <f t="shared" si="9"/>
        <v>#DIV/0!</v>
      </c>
      <c r="H197" s="21"/>
    </row>
    <row r="198" spans="1:8" s="4" customFormat="1" ht="26.25" customHeight="1">
      <c r="A198" s="19" t="s">
        <v>374</v>
      </c>
      <c r="B198" s="85"/>
      <c r="C198" s="146"/>
      <c r="D198" s="36"/>
      <c r="E198" s="14">
        <v>33.299999999999997</v>
      </c>
      <c r="F198" s="10">
        <f t="shared" si="8"/>
        <v>33.299999999999997</v>
      </c>
      <c r="G198" s="151" t="e">
        <f t="shared" si="9"/>
        <v>#DIV/0!</v>
      </c>
      <c r="H198" s="21"/>
    </row>
    <row r="199" spans="1:8" s="4" customFormat="1" ht="26.25" customHeight="1">
      <c r="A199" s="19" t="s">
        <v>375</v>
      </c>
      <c r="B199" s="85"/>
      <c r="C199" s="146"/>
      <c r="D199" s="36"/>
      <c r="E199" s="14">
        <v>16.8</v>
      </c>
      <c r="F199" s="10">
        <f t="shared" si="8"/>
        <v>16.8</v>
      </c>
      <c r="G199" s="151" t="e">
        <f t="shared" si="9"/>
        <v>#DIV/0!</v>
      </c>
      <c r="H199" s="21"/>
    </row>
    <row r="200" spans="1:8" s="4" customFormat="1" ht="26.25" customHeight="1">
      <c r="A200" s="19" t="s">
        <v>376</v>
      </c>
      <c r="B200" s="85"/>
      <c r="C200" s="146"/>
      <c r="D200" s="36"/>
      <c r="E200" s="14">
        <v>15.9</v>
      </c>
      <c r="F200" s="10">
        <f t="shared" si="8"/>
        <v>15.9</v>
      </c>
      <c r="G200" s="151" t="e">
        <f t="shared" si="9"/>
        <v>#DIV/0!</v>
      </c>
      <c r="H200" s="21"/>
    </row>
    <row r="201" spans="1:8" s="4" customFormat="1" ht="26.25" customHeight="1">
      <c r="A201" s="19" t="s">
        <v>377</v>
      </c>
      <c r="B201" s="85"/>
      <c r="C201" s="146"/>
      <c r="D201" s="36"/>
      <c r="E201" s="14">
        <v>18.7</v>
      </c>
      <c r="F201" s="10">
        <f t="shared" si="8"/>
        <v>18.7</v>
      </c>
      <c r="G201" s="151" t="e">
        <f t="shared" si="9"/>
        <v>#DIV/0!</v>
      </c>
      <c r="H201" s="21"/>
    </row>
    <row r="202" spans="1:8" s="4" customFormat="1" ht="26.25" customHeight="1">
      <c r="A202" s="19" t="s">
        <v>378</v>
      </c>
      <c r="B202" s="85"/>
      <c r="C202" s="146"/>
      <c r="D202" s="36"/>
      <c r="E202" s="14">
        <v>97.9</v>
      </c>
      <c r="F202" s="10">
        <f t="shared" si="8"/>
        <v>97.9</v>
      </c>
      <c r="G202" s="151" t="e">
        <f t="shared" si="9"/>
        <v>#DIV/0!</v>
      </c>
      <c r="H202" s="21"/>
    </row>
    <row r="203" spans="1:8" s="4" customFormat="1" ht="60" customHeight="1">
      <c r="A203" s="168" t="s">
        <v>332</v>
      </c>
      <c r="B203" s="85"/>
      <c r="C203" s="146"/>
      <c r="D203" s="36"/>
      <c r="E203" s="14">
        <v>16.2</v>
      </c>
      <c r="F203" s="10">
        <f t="shared" si="8"/>
        <v>16.2</v>
      </c>
      <c r="G203" s="151" t="e">
        <f t="shared" si="9"/>
        <v>#DIV/0!</v>
      </c>
      <c r="H203" s="21"/>
    </row>
    <row r="204" spans="1:8" s="4" customFormat="1" ht="26.25" customHeight="1">
      <c r="A204" s="19" t="s">
        <v>379</v>
      </c>
      <c r="B204" s="85"/>
      <c r="C204" s="146"/>
      <c r="D204" s="36"/>
      <c r="E204" s="14">
        <v>11.9</v>
      </c>
      <c r="F204" s="10">
        <f t="shared" si="8"/>
        <v>11.9</v>
      </c>
      <c r="G204" s="151" t="e">
        <f t="shared" si="9"/>
        <v>#DIV/0!</v>
      </c>
      <c r="H204" s="21"/>
    </row>
    <row r="205" spans="1:8" s="4" customFormat="1" ht="26.25" customHeight="1">
      <c r="A205" s="168" t="s">
        <v>380</v>
      </c>
      <c r="B205" s="85"/>
      <c r="C205" s="146"/>
      <c r="D205" s="36"/>
      <c r="E205" s="14">
        <v>10.3</v>
      </c>
      <c r="F205" s="10">
        <f t="shared" si="8"/>
        <v>10.3</v>
      </c>
      <c r="G205" s="151" t="e">
        <f t="shared" si="9"/>
        <v>#DIV/0!</v>
      </c>
      <c r="H205" s="21"/>
    </row>
    <row r="206" spans="1:8" s="4" customFormat="1" ht="26.25" customHeight="1">
      <c r="A206" s="19" t="s">
        <v>381</v>
      </c>
      <c r="B206" s="85"/>
      <c r="C206" s="146"/>
      <c r="D206" s="36"/>
      <c r="E206" s="14">
        <v>6.2</v>
      </c>
      <c r="F206" s="10">
        <f t="shared" si="8"/>
        <v>6.2</v>
      </c>
      <c r="G206" s="151" t="e">
        <f t="shared" si="9"/>
        <v>#DIV/0!</v>
      </c>
      <c r="H206" s="21"/>
    </row>
    <row r="207" spans="1:8" s="4" customFormat="1" ht="26.25" customHeight="1">
      <c r="A207" s="19" t="s">
        <v>382</v>
      </c>
      <c r="B207" s="85"/>
      <c r="C207" s="146"/>
      <c r="D207" s="36"/>
      <c r="E207" s="14">
        <v>11.3</v>
      </c>
      <c r="F207" s="10">
        <f t="shared" si="8"/>
        <v>11.3</v>
      </c>
      <c r="G207" s="151" t="e">
        <f t="shared" si="9"/>
        <v>#DIV/0!</v>
      </c>
      <c r="H207" s="21"/>
    </row>
    <row r="208" spans="1:8" s="4" customFormat="1" ht="26.25" customHeight="1">
      <c r="A208" s="19" t="s">
        <v>383</v>
      </c>
      <c r="B208" s="85"/>
      <c r="C208" s="146"/>
      <c r="D208" s="36"/>
      <c r="E208" s="14">
        <v>11.5</v>
      </c>
      <c r="F208" s="10">
        <f t="shared" si="8"/>
        <v>11.5</v>
      </c>
      <c r="G208" s="151" t="e">
        <f t="shared" si="9"/>
        <v>#DIV/0!</v>
      </c>
      <c r="H208" s="21"/>
    </row>
    <row r="209" spans="1:8" s="4" customFormat="1" ht="43.5" customHeight="1">
      <c r="A209" s="168" t="s">
        <v>384</v>
      </c>
      <c r="B209" s="85"/>
      <c r="C209" s="146"/>
      <c r="D209" s="36"/>
      <c r="E209" s="14">
        <v>9.8000000000000007</v>
      </c>
      <c r="F209" s="10">
        <f t="shared" si="8"/>
        <v>9.8000000000000007</v>
      </c>
      <c r="G209" s="151" t="e">
        <f t="shared" si="9"/>
        <v>#DIV/0!</v>
      </c>
      <c r="H209" s="21"/>
    </row>
    <row r="210" spans="1:8" s="4" customFormat="1" ht="26.25" customHeight="1">
      <c r="A210" s="19" t="s">
        <v>385</v>
      </c>
      <c r="B210" s="85"/>
      <c r="C210" s="146"/>
      <c r="D210" s="36"/>
      <c r="E210" s="14">
        <v>1.9</v>
      </c>
      <c r="F210" s="10">
        <f t="shared" si="8"/>
        <v>1.9</v>
      </c>
      <c r="G210" s="151" t="e">
        <f t="shared" si="9"/>
        <v>#DIV/0!</v>
      </c>
      <c r="H210" s="21"/>
    </row>
    <row r="211" spans="1:8" s="4" customFormat="1" ht="26.25" customHeight="1">
      <c r="A211" s="19" t="s">
        <v>386</v>
      </c>
      <c r="B211" s="85"/>
      <c r="C211" s="146"/>
      <c r="D211" s="36"/>
      <c r="E211" s="14">
        <v>15.6</v>
      </c>
      <c r="F211" s="10">
        <f t="shared" si="8"/>
        <v>15.6</v>
      </c>
      <c r="G211" s="151" t="e">
        <f t="shared" si="9"/>
        <v>#DIV/0!</v>
      </c>
      <c r="H211" s="21"/>
    </row>
    <row r="212" spans="1:8" s="4" customFormat="1" ht="26.25" customHeight="1">
      <c r="A212" s="168" t="s">
        <v>387</v>
      </c>
      <c r="B212" s="85"/>
      <c r="C212" s="146"/>
      <c r="D212" s="36"/>
      <c r="E212" s="14">
        <v>27.2</v>
      </c>
      <c r="F212" s="10">
        <f t="shared" si="8"/>
        <v>27.2</v>
      </c>
      <c r="G212" s="151" t="e">
        <f t="shared" si="9"/>
        <v>#DIV/0!</v>
      </c>
      <c r="H212" s="21"/>
    </row>
    <row r="213" spans="1:8" s="4" customFormat="1" ht="26.25" customHeight="1">
      <c r="A213" s="19" t="s">
        <v>388</v>
      </c>
      <c r="B213" s="85"/>
      <c r="C213" s="146"/>
      <c r="D213" s="36"/>
      <c r="E213" s="14">
        <v>14.5</v>
      </c>
      <c r="F213" s="10">
        <f t="shared" si="8"/>
        <v>14.5</v>
      </c>
      <c r="G213" s="151" t="e">
        <f t="shared" si="9"/>
        <v>#DIV/0!</v>
      </c>
      <c r="H213" s="21"/>
    </row>
    <row r="214" spans="1:8" s="4" customFormat="1" ht="26.25" customHeight="1">
      <c r="A214" s="19" t="s">
        <v>389</v>
      </c>
      <c r="B214" s="85"/>
      <c r="C214" s="146"/>
      <c r="D214" s="36"/>
      <c r="E214" s="14">
        <v>21.8</v>
      </c>
      <c r="F214" s="10">
        <f t="shared" si="8"/>
        <v>21.8</v>
      </c>
      <c r="G214" s="151" t="e">
        <f t="shared" si="9"/>
        <v>#DIV/0!</v>
      </c>
      <c r="H214" s="21"/>
    </row>
    <row r="215" spans="1:8" s="4" customFormat="1" ht="26.25" customHeight="1">
      <c r="A215" s="168" t="s">
        <v>390</v>
      </c>
      <c r="B215" s="85"/>
      <c r="C215" s="146"/>
      <c r="D215" s="36"/>
      <c r="E215" s="14">
        <v>5.7</v>
      </c>
      <c r="F215" s="10">
        <f t="shared" si="8"/>
        <v>5.7</v>
      </c>
      <c r="G215" s="151" t="e">
        <f t="shared" si="9"/>
        <v>#DIV/0!</v>
      </c>
      <c r="H215" s="21"/>
    </row>
    <row r="216" spans="1:8" s="4" customFormat="1" ht="26.25" customHeight="1">
      <c r="A216" s="19" t="s">
        <v>391</v>
      </c>
      <c r="B216" s="85"/>
      <c r="C216" s="146"/>
      <c r="D216" s="36"/>
      <c r="E216" s="14">
        <v>2.9</v>
      </c>
      <c r="F216" s="10">
        <f t="shared" si="8"/>
        <v>2.9</v>
      </c>
      <c r="G216" s="151" t="e">
        <f t="shared" si="9"/>
        <v>#DIV/0!</v>
      </c>
      <c r="H216" s="21"/>
    </row>
    <row r="217" spans="1:8" s="4" customFormat="1" ht="26.25" customHeight="1">
      <c r="A217" s="19" t="s">
        <v>392</v>
      </c>
      <c r="B217" s="85"/>
      <c r="C217" s="146"/>
      <c r="D217" s="36"/>
      <c r="E217" s="14">
        <v>1.3</v>
      </c>
      <c r="F217" s="10">
        <f t="shared" si="8"/>
        <v>1.3</v>
      </c>
      <c r="G217" s="151" t="e">
        <f t="shared" si="9"/>
        <v>#DIV/0!</v>
      </c>
      <c r="H217" s="21"/>
    </row>
    <row r="218" spans="1:8" s="4" customFormat="1" ht="26.25" customHeight="1">
      <c r="A218" s="19" t="s">
        <v>393</v>
      </c>
      <c r="B218" s="85"/>
      <c r="C218" s="146"/>
      <c r="D218" s="36"/>
      <c r="E218" s="146">
        <v>3.5</v>
      </c>
      <c r="F218" s="10">
        <f t="shared" si="8"/>
        <v>3.5</v>
      </c>
      <c r="G218" s="151" t="e">
        <f t="shared" si="9"/>
        <v>#DIV/0!</v>
      </c>
      <c r="H218" s="21"/>
    </row>
    <row r="219" spans="1:8" s="4" customFormat="1" ht="26.25" customHeight="1">
      <c r="A219" s="19" t="s">
        <v>394</v>
      </c>
      <c r="B219" s="85"/>
      <c r="C219" s="146"/>
      <c r="D219" s="36"/>
      <c r="E219" s="14">
        <v>2</v>
      </c>
      <c r="F219" s="10">
        <f t="shared" si="8"/>
        <v>2</v>
      </c>
      <c r="G219" s="151" t="e">
        <f t="shared" si="9"/>
        <v>#DIV/0!</v>
      </c>
      <c r="H219" s="21"/>
    </row>
    <row r="220" spans="1:8" s="4" customFormat="1" ht="26.25" customHeight="1">
      <c r="A220" s="19" t="s">
        <v>395</v>
      </c>
      <c r="B220" s="85"/>
      <c r="C220" s="146"/>
      <c r="D220" s="36"/>
      <c r="E220" s="14">
        <v>1</v>
      </c>
      <c r="F220" s="10">
        <f t="shared" si="8"/>
        <v>1</v>
      </c>
      <c r="G220" s="151" t="e">
        <f t="shared" si="9"/>
        <v>#DIV/0!</v>
      </c>
      <c r="H220" s="21"/>
    </row>
    <row r="221" spans="1:8" s="4" customFormat="1" ht="26.25" customHeight="1">
      <c r="A221" s="19" t="s">
        <v>396</v>
      </c>
      <c r="B221" s="85"/>
      <c r="C221" s="146"/>
      <c r="D221" s="36"/>
      <c r="E221" s="14">
        <v>1</v>
      </c>
      <c r="F221" s="10">
        <f t="shared" si="8"/>
        <v>1</v>
      </c>
      <c r="G221" s="151" t="e">
        <f t="shared" si="9"/>
        <v>#DIV/0!</v>
      </c>
      <c r="H221" s="21"/>
    </row>
    <row r="222" spans="1:8" s="4" customFormat="1" ht="26.25" customHeight="1">
      <c r="A222" s="19" t="s">
        <v>397</v>
      </c>
      <c r="B222" s="85"/>
      <c r="C222" s="146"/>
      <c r="D222" s="36"/>
      <c r="E222" s="14">
        <v>2.8</v>
      </c>
      <c r="F222" s="10">
        <f t="shared" si="8"/>
        <v>2.8</v>
      </c>
      <c r="G222" s="151" t="e">
        <f t="shared" si="9"/>
        <v>#DIV/0!</v>
      </c>
      <c r="H222" s="21"/>
    </row>
    <row r="223" spans="1:8" s="4" customFormat="1" ht="26.25" customHeight="1">
      <c r="A223" s="19" t="s">
        <v>398</v>
      </c>
      <c r="B223" s="85"/>
      <c r="C223" s="146"/>
      <c r="D223" s="36"/>
      <c r="E223" s="14">
        <v>2</v>
      </c>
      <c r="F223" s="10">
        <f t="shared" si="8"/>
        <v>2</v>
      </c>
      <c r="G223" s="151" t="e">
        <f t="shared" si="9"/>
        <v>#DIV/0!</v>
      </c>
      <c r="H223" s="21"/>
    </row>
    <row r="224" spans="1:8" s="4" customFormat="1" ht="26.25" customHeight="1">
      <c r="A224" s="19" t="s">
        <v>399</v>
      </c>
      <c r="B224" s="85"/>
      <c r="C224" s="146"/>
      <c r="D224" s="36"/>
      <c r="E224" s="14">
        <v>2.5</v>
      </c>
      <c r="F224" s="10">
        <f t="shared" si="8"/>
        <v>2.5</v>
      </c>
      <c r="G224" s="151" t="e">
        <f t="shared" si="9"/>
        <v>#DIV/0!</v>
      </c>
      <c r="H224" s="21"/>
    </row>
    <row r="225" spans="1:8" s="4" customFormat="1" ht="26.25" customHeight="1">
      <c r="A225" s="19" t="s">
        <v>400</v>
      </c>
      <c r="B225" s="85"/>
      <c r="C225" s="146"/>
      <c r="D225" s="36"/>
      <c r="E225" s="14">
        <v>5</v>
      </c>
      <c r="F225" s="10">
        <f t="shared" si="8"/>
        <v>5</v>
      </c>
      <c r="G225" s="151" t="e">
        <f t="shared" si="9"/>
        <v>#DIV/0!</v>
      </c>
      <c r="H225" s="21"/>
    </row>
    <row r="226" spans="1:8" s="4" customFormat="1" ht="26.25" customHeight="1">
      <c r="A226" s="19" t="s">
        <v>401</v>
      </c>
      <c r="B226" s="85"/>
      <c r="C226" s="146"/>
      <c r="D226" s="36"/>
      <c r="E226" s="14">
        <v>2.5</v>
      </c>
      <c r="F226" s="10">
        <f t="shared" si="8"/>
        <v>2.5</v>
      </c>
      <c r="G226" s="151" t="e">
        <f t="shared" si="9"/>
        <v>#DIV/0!</v>
      </c>
      <c r="H226" s="21"/>
    </row>
    <row r="227" spans="1:8" s="4" customFormat="1" ht="26.25" customHeight="1">
      <c r="A227" s="168" t="s">
        <v>402</v>
      </c>
      <c r="B227" s="85"/>
      <c r="C227" s="146"/>
      <c r="D227" s="36"/>
      <c r="E227" s="14">
        <v>2.5</v>
      </c>
      <c r="F227" s="10">
        <f t="shared" si="8"/>
        <v>2.5</v>
      </c>
      <c r="G227" s="151" t="e">
        <f t="shared" si="9"/>
        <v>#DIV/0!</v>
      </c>
      <c r="H227" s="21"/>
    </row>
    <row r="228" spans="1:8" s="4" customFormat="1" ht="26.25" customHeight="1">
      <c r="A228" s="19" t="s">
        <v>403</v>
      </c>
      <c r="B228" s="85"/>
      <c r="C228" s="146"/>
      <c r="D228" s="36"/>
      <c r="E228" s="14">
        <v>2.6</v>
      </c>
      <c r="F228" s="10">
        <f t="shared" ref="F228:F291" si="10">E228-D228</f>
        <v>2.6</v>
      </c>
      <c r="G228" s="151" t="e">
        <f t="shared" ref="G228:G291" si="11">(E228/D228)*100</f>
        <v>#DIV/0!</v>
      </c>
      <c r="H228" s="21"/>
    </row>
    <row r="229" spans="1:8" s="4" customFormat="1" ht="26.25" customHeight="1">
      <c r="A229" s="19" t="s">
        <v>404</v>
      </c>
      <c r="B229" s="85"/>
      <c r="C229" s="146"/>
      <c r="D229" s="36"/>
      <c r="E229" s="14">
        <v>0.8</v>
      </c>
      <c r="F229" s="10">
        <f t="shared" si="10"/>
        <v>0.8</v>
      </c>
      <c r="G229" s="151" t="e">
        <f t="shared" si="11"/>
        <v>#DIV/0!</v>
      </c>
      <c r="H229" s="21"/>
    </row>
    <row r="230" spans="1:8" s="4" customFormat="1" ht="26.25" customHeight="1">
      <c r="A230" s="19" t="s">
        <v>405</v>
      </c>
      <c r="B230" s="85"/>
      <c r="C230" s="146"/>
      <c r="D230" s="36"/>
      <c r="E230" s="14">
        <v>0.5</v>
      </c>
      <c r="F230" s="10">
        <f t="shared" si="10"/>
        <v>0.5</v>
      </c>
      <c r="G230" s="151" t="e">
        <f t="shared" si="11"/>
        <v>#DIV/0!</v>
      </c>
      <c r="H230" s="21"/>
    </row>
    <row r="231" spans="1:8" s="4" customFormat="1" ht="26.25" customHeight="1">
      <c r="A231" s="19" t="s">
        <v>406</v>
      </c>
      <c r="B231" s="85"/>
      <c r="C231" s="146"/>
      <c r="D231" s="36"/>
      <c r="E231" s="14">
        <v>1.5</v>
      </c>
      <c r="F231" s="10">
        <f t="shared" si="10"/>
        <v>1.5</v>
      </c>
      <c r="G231" s="151" t="e">
        <f t="shared" si="11"/>
        <v>#DIV/0!</v>
      </c>
      <c r="H231" s="21"/>
    </row>
    <row r="232" spans="1:8" s="4" customFormat="1" ht="49.5" customHeight="1">
      <c r="A232" s="168" t="s">
        <v>407</v>
      </c>
      <c r="B232" s="85"/>
      <c r="C232" s="146"/>
      <c r="D232" s="36"/>
      <c r="E232" s="14">
        <v>7.7</v>
      </c>
      <c r="F232" s="10">
        <f t="shared" si="10"/>
        <v>7.7</v>
      </c>
      <c r="G232" s="151" t="e">
        <f t="shared" si="11"/>
        <v>#DIV/0!</v>
      </c>
      <c r="H232" s="21"/>
    </row>
    <row r="233" spans="1:8" s="4" customFormat="1" ht="26.25" customHeight="1">
      <c r="A233" s="19" t="s">
        <v>408</v>
      </c>
      <c r="B233" s="85"/>
      <c r="C233" s="146"/>
      <c r="D233" s="36"/>
      <c r="E233" s="14">
        <v>2.2000000000000002</v>
      </c>
      <c r="F233" s="10">
        <f t="shared" si="10"/>
        <v>2.2000000000000002</v>
      </c>
      <c r="G233" s="151" t="e">
        <f t="shared" si="11"/>
        <v>#DIV/0!</v>
      </c>
      <c r="H233" s="21"/>
    </row>
    <row r="234" spans="1:8" s="4" customFormat="1" ht="26.25" customHeight="1">
      <c r="A234" s="19" t="s">
        <v>409</v>
      </c>
      <c r="B234" s="85"/>
      <c r="C234" s="146"/>
      <c r="D234" s="36"/>
      <c r="E234" s="14">
        <v>7.2</v>
      </c>
      <c r="F234" s="10">
        <f t="shared" si="10"/>
        <v>7.2</v>
      </c>
      <c r="G234" s="151" t="e">
        <f t="shared" si="11"/>
        <v>#DIV/0!</v>
      </c>
      <c r="H234" s="21"/>
    </row>
    <row r="235" spans="1:8" s="4" customFormat="1" ht="26.25" customHeight="1">
      <c r="A235" s="19" t="s">
        <v>410</v>
      </c>
      <c r="B235" s="85"/>
      <c r="C235" s="146"/>
      <c r="D235" s="36"/>
      <c r="E235" s="14">
        <v>2.8</v>
      </c>
      <c r="F235" s="10">
        <f t="shared" si="10"/>
        <v>2.8</v>
      </c>
      <c r="G235" s="151" t="e">
        <f t="shared" si="11"/>
        <v>#DIV/0!</v>
      </c>
      <c r="H235" s="21"/>
    </row>
    <row r="236" spans="1:8" s="4" customFormat="1" ht="26.25" customHeight="1">
      <c r="A236" s="19" t="s">
        <v>411</v>
      </c>
      <c r="B236" s="85"/>
      <c r="C236" s="146"/>
      <c r="D236" s="36"/>
      <c r="E236" s="14">
        <v>0.4</v>
      </c>
      <c r="F236" s="10">
        <f t="shared" si="10"/>
        <v>0.4</v>
      </c>
      <c r="G236" s="151" t="e">
        <f t="shared" si="11"/>
        <v>#DIV/0!</v>
      </c>
      <c r="H236" s="21"/>
    </row>
    <row r="237" spans="1:8" s="4" customFormat="1" ht="26.25" customHeight="1">
      <c r="A237" s="168" t="s">
        <v>412</v>
      </c>
      <c r="B237" s="85"/>
      <c r="C237" s="146"/>
      <c r="D237" s="36"/>
      <c r="E237" s="14">
        <v>0.4</v>
      </c>
      <c r="F237" s="10">
        <f t="shared" si="10"/>
        <v>0.4</v>
      </c>
      <c r="G237" s="151" t="e">
        <f t="shared" si="11"/>
        <v>#DIV/0!</v>
      </c>
      <c r="H237" s="21"/>
    </row>
    <row r="238" spans="1:8" s="4" customFormat="1" ht="26.25" customHeight="1">
      <c r="A238" s="19" t="s">
        <v>413</v>
      </c>
      <c r="B238" s="85"/>
      <c r="C238" s="146"/>
      <c r="D238" s="36"/>
      <c r="E238" s="14">
        <v>0.4</v>
      </c>
      <c r="F238" s="10">
        <f t="shared" si="10"/>
        <v>0.4</v>
      </c>
      <c r="G238" s="151" t="e">
        <f t="shared" si="11"/>
        <v>#DIV/0!</v>
      </c>
      <c r="H238" s="21"/>
    </row>
    <row r="239" spans="1:8" s="4" customFormat="1" ht="26.25" customHeight="1">
      <c r="A239" s="19" t="s">
        <v>414</v>
      </c>
      <c r="B239" s="85"/>
      <c r="C239" s="146"/>
      <c r="D239" s="36"/>
      <c r="E239" s="14">
        <v>0.4</v>
      </c>
      <c r="F239" s="10">
        <f t="shared" si="10"/>
        <v>0.4</v>
      </c>
      <c r="G239" s="151" t="e">
        <f t="shared" si="11"/>
        <v>#DIV/0!</v>
      </c>
      <c r="H239" s="21"/>
    </row>
    <row r="240" spans="1:8" s="4" customFormat="1" ht="26.25" customHeight="1">
      <c r="A240" s="19" t="s">
        <v>415</v>
      </c>
      <c r="B240" s="85"/>
      <c r="C240" s="146"/>
      <c r="D240" s="36"/>
      <c r="E240" s="14">
        <v>2.5</v>
      </c>
      <c r="F240" s="10">
        <f t="shared" si="10"/>
        <v>2.5</v>
      </c>
      <c r="G240" s="151" t="e">
        <f t="shared" si="11"/>
        <v>#DIV/0!</v>
      </c>
      <c r="H240" s="21"/>
    </row>
    <row r="241" spans="1:8" s="4" customFormat="1" ht="26.25" customHeight="1">
      <c r="A241" s="19" t="s">
        <v>416</v>
      </c>
      <c r="B241" s="85"/>
      <c r="C241" s="146"/>
      <c r="D241" s="36"/>
      <c r="E241" s="14">
        <v>1.1000000000000001</v>
      </c>
      <c r="F241" s="10">
        <f t="shared" si="10"/>
        <v>1.1000000000000001</v>
      </c>
      <c r="G241" s="151" t="e">
        <f t="shared" si="11"/>
        <v>#DIV/0!</v>
      </c>
      <c r="H241" s="21"/>
    </row>
    <row r="242" spans="1:8" s="4" customFormat="1" ht="46.5" customHeight="1">
      <c r="A242" s="168" t="s">
        <v>417</v>
      </c>
      <c r="B242" s="85"/>
      <c r="C242" s="146"/>
      <c r="D242" s="36"/>
      <c r="E242" s="14">
        <v>21.4</v>
      </c>
      <c r="F242" s="10">
        <f t="shared" si="10"/>
        <v>21.4</v>
      </c>
      <c r="G242" s="151" t="e">
        <f t="shared" si="11"/>
        <v>#DIV/0!</v>
      </c>
      <c r="H242" s="21"/>
    </row>
    <row r="243" spans="1:8" s="4" customFormat="1" ht="41.25" customHeight="1">
      <c r="A243" s="168" t="s">
        <v>418</v>
      </c>
      <c r="B243" s="85"/>
      <c r="C243" s="146"/>
      <c r="D243" s="36"/>
      <c r="E243" s="14">
        <v>4.3</v>
      </c>
      <c r="F243" s="10">
        <f t="shared" si="10"/>
        <v>4.3</v>
      </c>
      <c r="G243" s="151" t="e">
        <f t="shared" si="11"/>
        <v>#DIV/0!</v>
      </c>
      <c r="H243" s="21"/>
    </row>
    <row r="244" spans="1:8" s="4" customFormat="1" ht="26.25" customHeight="1">
      <c r="A244" s="168" t="s">
        <v>419</v>
      </c>
      <c r="B244" s="85"/>
      <c r="C244" s="146"/>
      <c r="D244" s="36"/>
      <c r="E244" s="14">
        <v>9.4</v>
      </c>
      <c r="F244" s="10">
        <f t="shared" si="10"/>
        <v>9.4</v>
      </c>
      <c r="G244" s="151" t="e">
        <f t="shared" si="11"/>
        <v>#DIV/0!</v>
      </c>
      <c r="H244" s="21"/>
    </row>
    <row r="245" spans="1:8" s="4" customFormat="1" ht="26.25" customHeight="1">
      <c r="A245" s="168" t="s">
        <v>420</v>
      </c>
      <c r="B245" s="85"/>
      <c r="C245" s="146"/>
      <c r="D245" s="36"/>
      <c r="E245" s="14">
        <v>11</v>
      </c>
      <c r="F245" s="10">
        <f t="shared" si="10"/>
        <v>11</v>
      </c>
      <c r="G245" s="151" t="e">
        <f t="shared" si="11"/>
        <v>#DIV/0!</v>
      </c>
      <c r="H245" s="21"/>
    </row>
    <row r="246" spans="1:8" s="4" customFormat="1" ht="26.25" customHeight="1">
      <c r="A246" s="19" t="s">
        <v>421</v>
      </c>
      <c r="B246" s="85"/>
      <c r="C246" s="146"/>
      <c r="D246" s="36"/>
      <c r="E246" s="14">
        <v>22.1</v>
      </c>
      <c r="F246" s="10">
        <f t="shared" si="10"/>
        <v>22.1</v>
      </c>
      <c r="G246" s="151" t="e">
        <f t="shared" si="11"/>
        <v>#DIV/0!</v>
      </c>
      <c r="H246" s="21"/>
    </row>
    <row r="247" spans="1:8" s="4" customFormat="1" ht="26.25" customHeight="1">
      <c r="A247" s="19" t="s">
        <v>422</v>
      </c>
      <c r="B247" s="85"/>
      <c r="C247" s="146"/>
      <c r="D247" s="36"/>
      <c r="E247" s="14">
        <v>26.3</v>
      </c>
      <c r="F247" s="10">
        <f t="shared" si="10"/>
        <v>26.3</v>
      </c>
      <c r="G247" s="151" t="e">
        <f t="shared" si="11"/>
        <v>#DIV/0!</v>
      </c>
      <c r="H247" s="21"/>
    </row>
    <row r="248" spans="1:8" s="4" customFormat="1" ht="26.25" customHeight="1">
      <c r="A248" s="19" t="s">
        <v>423</v>
      </c>
      <c r="B248" s="85"/>
      <c r="C248" s="14"/>
      <c r="D248" s="36"/>
      <c r="E248" s="14">
        <v>31.2</v>
      </c>
      <c r="F248" s="10">
        <f t="shared" si="10"/>
        <v>31.2</v>
      </c>
      <c r="G248" s="151" t="e">
        <f t="shared" si="11"/>
        <v>#DIV/0!</v>
      </c>
      <c r="H248" s="21"/>
    </row>
    <row r="249" spans="1:8" s="4" customFormat="1" ht="42" customHeight="1">
      <c r="A249" s="168" t="s">
        <v>424</v>
      </c>
      <c r="B249" s="85"/>
      <c r="C249" s="14"/>
      <c r="D249" s="36"/>
      <c r="E249" s="14">
        <v>5.4</v>
      </c>
      <c r="F249" s="10">
        <f t="shared" si="10"/>
        <v>5.4</v>
      </c>
      <c r="G249" s="151" t="e">
        <f t="shared" si="11"/>
        <v>#DIV/0!</v>
      </c>
      <c r="H249" s="21"/>
    </row>
    <row r="250" spans="1:8" s="4" customFormat="1" ht="26.25" customHeight="1">
      <c r="A250" s="168" t="s">
        <v>425</v>
      </c>
      <c r="B250" s="85"/>
      <c r="C250" s="14"/>
      <c r="D250" s="36"/>
      <c r="E250" s="14">
        <v>3.1</v>
      </c>
      <c r="F250" s="10">
        <f t="shared" si="10"/>
        <v>3.1</v>
      </c>
      <c r="G250" s="151" t="e">
        <f t="shared" si="11"/>
        <v>#DIV/0!</v>
      </c>
      <c r="H250" s="21"/>
    </row>
    <row r="251" spans="1:8" s="4" customFormat="1" ht="26.25" customHeight="1">
      <c r="A251" s="19" t="s">
        <v>426</v>
      </c>
      <c r="B251" s="85"/>
      <c r="C251" s="14"/>
      <c r="D251" s="36"/>
      <c r="E251" s="14">
        <v>16.3</v>
      </c>
      <c r="F251" s="10">
        <f t="shared" si="10"/>
        <v>16.3</v>
      </c>
      <c r="G251" s="151" t="e">
        <f t="shared" si="11"/>
        <v>#DIV/0!</v>
      </c>
      <c r="H251" s="21"/>
    </row>
    <row r="252" spans="1:8" s="4" customFormat="1" ht="28.5" customHeight="1">
      <c r="A252" s="19" t="s">
        <v>427</v>
      </c>
      <c r="B252" s="85"/>
      <c r="C252" s="14"/>
      <c r="D252" s="36"/>
      <c r="E252" s="14">
        <v>18.8</v>
      </c>
      <c r="F252" s="10">
        <f t="shared" si="10"/>
        <v>18.8</v>
      </c>
      <c r="G252" s="151" t="e">
        <f t="shared" si="11"/>
        <v>#DIV/0!</v>
      </c>
      <c r="H252" s="21"/>
    </row>
    <row r="253" spans="1:8" s="4" customFormat="1" ht="41.25" customHeight="1">
      <c r="A253" s="168" t="s">
        <v>428</v>
      </c>
      <c r="B253" s="85"/>
      <c r="C253" s="14"/>
      <c r="D253" s="36"/>
      <c r="E253" s="14">
        <v>33</v>
      </c>
      <c r="F253" s="10">
        <f t="shared" si="10"/>
        <v>33</v>
      </c>
      <c r="G253" s="151" t="e">
        <f t="shared" si="11"/>
        <v>#DIV/0!</v>
      </c>
      <c r="H253" s="21"/>
    </row>
    <row r="254" spans="1:8" s="4" customFormat="1" ht="25.5" customHeight="1">
      <c r="A254" s="19" t="s">
        <v>429</v>
      </c>
      <c r="B254" s="85"/>
      <c r="C254" s="14"/>
      <c r="D254" s="36"/>
      <c r="E254" s="14">
        <v>31.5</v>
      </c>
      <c r="F254" s="10">
        <f t="shared" si="10"/>
        <v>31.5</v>
      </c>
      <c r="G254" s="151" t="e">
        <f t="shared" si="11"/>
        <v>#DIV/0!</v>
      </c>
      <c r="H254" s="21"/>
    </row>
    <row r="255" spans="1:8" s="4" customFormat="1" ht="39" customHeight="1">
      <c r="A255" s="168" t="s">
        <v>430</v>
      </c>
      <c r="B255" s="85"/>
      <c r="C255" s="14"/>
      <c r="D255" s="36"/>
      <c r="E255" s="14">
        <v>22</v>
      </c>
      <c r="F255" s="10">
        <f t="shared" si="10"/>
        <v>22</v>
      </c>
      <c r="G255" s="151" t="e">
        <f t="shared" si="11"/>
        <v>#DIV/0!</v>
      </c>
      <c r="H255" s="21"/>
    </row>
    <row r="256" spans="1:8" s="4" customFormat="1" ht="26.25" customHeight="1">
      <c r="A256" s="19" t="s">
        <v>431</v>
      </c>
      <c r="B256" s="85"/>
      <c r="C256" s="14"/>
      <c r="D256" s="36"/>
      <c r="E256" s="14">
        <v>3</v>
      </c>
      <c r="F256" s="10">
        <f t="shared" si="10"/>
        <v>3</v>
      </c>
      <c r="G256" s="151" t="e">
        <f t="shared" si="11"/>
        <v>#DIV/0!</v>
      </c>
      <c r="H256" s="21"/>
    </row>
    <row r="257" spans="1:8" s="4" customFormat="1" ht="60.75" customHeight="1">
      <c r="A257" s="168" t="s">
        <v>432</v>
      </c>
      <c r="B257" s="85"/>
      <c r="C257" s="14"/>
      <c r="D257" s="36"/>
      <c r="E257" s="14">
        <v>15.2</v>
      </c>
      <c r="F257" s="10">
        <f t="shared" si="10"/>
        <v>15.2</v>
      </c>
      <c r="G257" s="151" t="e">
        <f t="shared" si="11"/>
        <v>#DIV/0!</v>
      </c>
      <c r="H257" s="21"/>
    </row>
    <row r="258" spans="1:8" s="4" customFormat="1" ht="29.25" customHeight="1">
      <c r="A258" s="168" t="s">
        <v>433</v>
      </c>
      <c r="B258" s="85"/>
      <c r="C258" s="14"/>
      <c r="D258" s="36"/>
      <c r="E258" s="14">
        <v>14.8</v>
      </c>
      <c r="F258" s="10">
        <f t="shared" si="10"/>
        <v>14.8</v>
      </c>
      <c r="G258" s="151" t="e">
        <f t="shared" si="11"/>
        <v>#DIV/0!</v>
      </c>
      <c r="H258" s="21"/>
    </row>
    <row r="259" spans="1:8" s="4" customFormat="1" ht="40.5" customHeight="1">
      <c r="A259" s="168" t="s">
        <v>434</v>
      </c>
      <c r="B259" s="85"/>
      <c r="C259" s="14"/>
      <c r="D259" s="36"/>
      <c r="E259" s="14">
        <v>13.3</v>
      </c>
      <c r="F259" s="10">
        <f t="shared" si="10"/>
        <v>13.3</v>
      </c>
      <c r="G259" s="151" t="e">
        <f t="shared" si="11"/>
        <v>#DIV/0!</v>
      </c>
      <c r="H259" s="21"/>
    </row>
    <row r="260" spans="1:8" s="4" customFormat="1" ht="28.5" customHeight="1">
      <c r="A260" s="168" t="s">
        <v>435</v>
      </c>
      <c r="B260" s="85"/>
      <c r="C260" s="14"/>
      <c r="D260" s="36"/>
      <c r="E260" s="14">
        <v>13</v>
      </c>
      <c r="F260" s="10">
        <f t="shared" si="10"/>
        <v>13</v>
      </c>
      <c r="G260" s="151" t="e">
        <f t="shared" si="11"/>
        <v>#DIV/0!</v>
      </c>
      <c r="H260" s="21"/>
    </row>
    <row r="261" spans="1:8" s="4" customFormat="1" ht="41.25" customHeight="1">
      <c r="A261" s="168" t="s">
        <v>436</v>
      </c>
      <c r="B261" s="85"/>
      <c r="C261" s="14"/>
      <c r="D261" s="36"/>
      <c r="E261" s="14">
        <f>11.3+13.8</f>
        <v>25.1</v>
      </c>
      <c r="F261" s="10">
        <f t="shared" si="10"/>
        <v>25.1</v>
      </c>
      <c r="G261" s="151" t="e">
        <f t="shared" si="11"/>
        <v>#DIV/0!</v>
      </c>
      <c r="H261" s="21"/>
    </row>
    <row r="262" spans="1:8" s="4" customFormat="1" ht="24.75" customHeight="1">
      <c r="A262" s="168" t="s">
        <v>437</v>
      </c>
      <c r="B262" s="85"/>
      <c r="C262" s="14"/>
      <c r="D262" s="36"/>
      <c r="E262" s="14">
        <v>10.7</v>
      </c>
      <c r="F262" s="10">
        <f t="shared" si="10"/>
        <v>10.7</v>
      </c>
      <c r="G262" s="151" t="e">
        <f t="shared" si="11"/>
        <v>#DIV/0!</v>
      </c>
      <c r="H262" s="21"/>
    </row>
    <row r="263" spans="1:8" s="4" customFormat="1" ht="27" customHeight="1">
      <c r="A263" s="168" t="s">
        <v>438</v>
      </c>
      <c r="B263" s="85"/>
      <c r="C263" s="14"/>
      <c r="D263" s="36"/>
      <c r="E263" s="14">
        <v>7.3</v>
      </c>
      <c r="F263" s="10">
        <f t="shared" si="10"/>
        <v>7.3</v>
      </c>
      <c r="G263" s="151" t="e">
        <f t="shared" si="11"/>
        <v>#DIV/0!</v>
      </c>
      <c r="H263" s="21"/>
    </row>
    <row r="264" spans="1:8" s="4" customFormat="1" ht="30.75" customHeight="1">
      <c r="A264" s="168" t="s">
        <v>439</v>
      </c>
      <c r="B264" s="85"/>
      <c r="C264" s="14"/>
      <c r="D264" s="36"/>
      <c r="E264" s="14">
        <v>3.2</v>
      </c>
      <c r="F264" s="10">
        <f t="shared" si="10"/>
        <v>3.2</v>
      </c>
      <c r="G264" s="151" t="e">
        <f t="shared" si="11"/>
        <v>#DIV/0!</v>
      </c>
      <c r="H264" s="21"/>
    </row>
    <row r="265" spans="1:8" s="4" customFormat="1" ht="36" customHeight="1">
      <c r="A265" s="168" t="s">
        <v>440</v>
      </c>
      <c r="B265" s="85"/>
      <c r="C265" s="14"/>
      <c r="D265" s="36"/>
      <c r="E265" s="14">
        <v>8.4</v>
      </c>
      <c r="F265" s="10">
        <f t="shared" si="10"/>
        <v>8.4</v>
      </c>
      <c r="G265" s="151" t="e">
        <f t="shared" si="11"/>
        <v>#DIV/0!</v>
      </c>
      <c r="H265" s="21"/>
    </row>
    <row r="266" spans="1:8" s="4" customFormat="1" ht="40.5" customHeight="1">
      <c r="A266" s="168" t="s">
        <v>441</v>
      </c>
      <c r="B266" s="85"/>
      <c r="C266" s="14"/>
      <c r="D266" s="36"/>
      <c r="E266" s="14">
        <v>8.1</v>
      </c>
      <c r="F266" s="10">
        <f t="shared" si="10"/>
        <v>8.1</v>
      </c>
      <c r="G266" s="151" t="e">
        <f t="shared" si="11"/>
        <v>#DIV/0!</v>
      </c>
      <c r="H266" s="21"/>
    </row>
    <row r="267" spans="1:8" s="4" customFormat="1" ht="26.25" customHeight="1">
      <c r="A267" s="168" t="s">
        <v>442</v>
      </c>
      <c r="B267" s="85"/>
      <c r="C267" s="14"/>
      <c r="D267" s="36"/>
      <c r="E267" s="14">
        <v>8</v>
      </c>
      <c r="F267" s="10">
        <f t="shared" si="10"/>
        <v>8</v>
      </c>
      <c r="G267" s="151" t="e">
        <f t="shared" si="11"/>
        <v>#DIV/0!</v>
      </c>
      <c r="H267" s="21"/>
    </row>
    <row r="268" spans="1:8" s="4" customFormat="1" ht="45.75" customHeight="1">
      <c r="A268" s="168" t="s">
        <v>443</v>
      </c>
      <c r="B268" s="85"/>
      <c r="C268" s="14"/>
      <c r="D268" s="36"/>
      <c r="E268" s="14">
        <v>7.8</v>
      </c>
      <c r="F268" s="10">
        <f t="shared" si="10"/>
        <v>7.8</v>
      </c>
      <c r="G268" s="151" t="e">
        <f t="shared" si="11"/>
        <v>#DIV/0!</v>
      </c>
      <c r="H268" s="21"/>
    </row>
    <row r="269" spans="1:8" s="4" customFormat="1" ht="26.25" customHeight="1">
      <c r="A269" s="168" t="s">
        <v>444</v>
      </c>
      <c r="B269" s="85"/>
      <c r="C269" s="14"/>
      <c r="D269" s="36"/>
      <c r="E269" s="14">
        <v>6</v>
      </c>
      <c r="F269" s="10">
        <f t="shared" si="10"/>
        <v>6</v>
      </c>
      <c r="G269" s="151" t="e">
        <f t="shared" si="11"/>
        <v>#DIV/0!</v>
      </c>
      <c r="H269" s="21"/>
    </row>
    <row r="270" spans="1:8" s="4" customFormat="1" ht="26.25" customHeight="1">
      <c r="A270" s="168" t="s">
        <v>445</v>
      </c>
      <c r="B270" s="85"/>
      <c r="C270" s="14"/>
      <c r="D270" s="36"/>
      <c r="E270" s="14">
        <v>1.7</v>
      </c>
      <c r="F270" s="10">
        <f t="shared" si="10"/>
        <v>1.7</v>
      </c>
      <c r="G270" s="151" t="e">
        <f t="shared" si="11"/>
        <v>#DIV/0!</v>
      </c>
      <c r="H270" s="21"/>
    </row>
    <row r="271" spans="1:8" s="4" customFormat="1" ht="26.25" customHeight="1">
      <c r="A271" s="168" t="s">
        <v>446</v>
      </c>
      <c r="B271" s="85"/>
      <c r="C271" s="14"/>
      <c r="D271" s="36"/>
      <c r="E271" s="14">
        <v>7.5</v>
      </c>
      <c r="F271" s="10">
        <f t="shared" si="10"/>
        <v>7.5</v>
      </c>
      <c r="G271" s="151" t="e">
        <f t="shared" si="11"/>
        <v>#DIV/0!</v>
      </c>
      <c r="H271" s="21"/>
    </row>
    <row r="272" spans="1:8" s="4" customFormat="1" ht="26.25" customHeight="1">
      <c r="A272" s="19" t="s">
        <v>447</v>
      </c>
      <c r="B272" s="85"/>
      <c r="C272" s="14"/>
      <c r="D272" s="36"/>
      <c r="E272" s="14">
        <v>6.6</v>
      </c>
      <c r="F272" s="10">
        <f t="shared" si="10"/>
        <v>6.6</v>
      </c>
      <c r="G272" s="151" t="e">
        <f t="shared" si="11"/>
        <v>#DIV/0!</v>
      </c>
      <c r="H272" s="21"/>
    </row>
    <row r="273" spans="1:8" s="4" customFormat="1" ht="26.25" customHeight="1">
      <c r="A273" s="168" t="s">
        <v>448</v>
      </c>
      <c r="B273" s="85"/>
      <c r="C273" s="14"/>
      <c r="D273" s="36"/>
      <c r="E273" s="14">
        <v>6.4</v>
      </c>
      <c r="F273" s="10">
        <f t="shared" si="10"/>
        <v>6.4</v>
      </c>
      <c r="G273" s="151" t="e">
        <f t="shared" si="11"/>
        <v>#DIV/0!</v>
      </c>
      <c r="H273" s="21"/>
    </row>
    <row r="274" spans="1:8" s="4" customFormat="1" ht="39" customHeight="1">
      <c r="A274" s="168" t="s">
        <v>335</v>
      </c>
      <c r="B274" s="85"/>
      <c r="C274" s="14"/>
      <c r="D274" s="36"/>
      <c r="E274" s="14">
        <v>6.2</v>
      </c>
      <c r="F274" s="10">
        <f t="shared" si="10"/>
        <v>6.2</v>
      </c>
      <c r="G274" s="151" t="e">
        <f t="shared" si="11"/>
        <v>#DIV/0!</v>
      </c>
      <c r="H274" s="21"/>
    </row>
    <row r="275" spans="1:8" s="4" customFormat="1" ht="33" customHeight="1">
      <c r="A275" s="168" t="s">
        <v>449</v>
      </c>
      <c r="B275" s="85"/>
      <c r="C275" s="14"/>
      <c r="D275" s="36"/>
      <c r="E275" s="14">
        <v>5.9</v>
      </c>
      <c r="F275" s="10">
        <f t="shared" si="10"/>
        <v>5.9</v>
      </c>
      <c r="G275" s="151" t="e">
        <f t="shared" si="11"/>
        <v>#DIV/0!</v>
      </c>
      <c r="H275" s="21"/>
    </row>
    <row r="276" spans="1:8" s="4" customFormat="1" ht="29.25" customHeight="1">
      <c r="A276" s="168" t="s">
        <v>450</v>
      </c>
      <c r="B276" s="85"/>
      <c r="C276" s="14"/>
      <c r="D276" s="36"/>
      <c r="E276" s="14">
        <v>4</v>
      </c>
      <c r="F276" s="10">
        <f t="shared" si="10"/>
        <v>4</v>
      </c>
      <c r="G276" s="151" t="e">
        <f t="shared" si="11"/>
        <v>#DIV/0!</v>
      </c>
      <c r="H276" s="21"/>
    </row>
    <row r="277" spans="1:8" s="4" customFormat="1" ht="26.25" customHeight="1">
      <c r="A277" s="19" t="s">
        <v>451</v>
      </c>
      <c r="B277" s="85"/>
      <c r="C277" s="14"/>
      <c r="D277" s="36"/>
      <c r="E277" s="14">
        <v>1.9</v>
      </c>
      <c r="F277" s="10">
        <f t="shared" si="10"/>
        <v>1.9</v>
      </c>
      <c r="G277" s="151" t="e">
        <f t="shared" si="11"/>
        <v>#DIV/0!</v>
      </c>
      <c r="H277" s="21"/>
    </row>
    <row r="278" spans="1:8" s="4" customFormat="1" ht="26.25" customHeight="1">
      <c r="A278" s="168" t="s">
        <v>452</v>
      </c>
      <c r="B278" s="85"/>
      <c r="C278" s="14"/>
      <c r="D278" s="36"/>
      <c r="E278" s="14">
        <v>3.6</v>
      </c>
      <c r="F278" s="10">
        <f t="shared" si="10"/>
        <v>3.6</v>
      </c>
      <c r="G278" s="151" t="e">
        <f t="shared" si="11"/>
        <v>#DIV/0!</v>
      </c>
      <c r="H278" s="21"/>
    </row>
    <row r="279" spans="1:8" s="4" customFormat="1" ht="27" customHeight="1">
      <c r="A279" s="19" t="s">
        <v>453</v>
      </c>
      <c r="B279" s="85"/>
      <c r="C279" s="14"/>
      <c r="D279" s="36"/>
      <c r="E279" s="14">
        <v>0.1</v>
      </c>
      <c r="F279" s="10">
        <f t="shared" si="10"/>
        <v>0.1</v>
      </c>
      <c r="G279" s="151" t="e">
        <f t="shared" si="11"/>
        <v>#DIV/0!</v>
      </c>
      <c r="H279" s="21"/>
    </row>
    <row r="280" spans="1:8" s="4" customFormat="1" ht="26.25" customHeight="1">
      <c r="A280" s="19" t="s">
        <v>454</v>
      </c>
      <c r="B280" s="85"/>
      <c r="C280" s="14"/>
      <c r="D280" s="36"/>
      <c r="E280" s="14">
        <v>0.1</v>
      </c>
      <c r="F280" s="10">
        <f t="shared" si="10"/>
        <v>0.1</v>
      </c>
      <c r="G280" s="151" t="e">
        <f t="shared" si="11"/>
        <v>#DIV/0!</v>
      </c>
      <c r="H280" s="21"/>
    </row>
    <row r="281" spans="1:8" s="4" customFormat="1" ht="26.25" customHeight="1">
      <c r="A281" s="19" t="s">
        <v>455</v>
      </c>
      <c r="B281" s="85"/>
      <c r="C281" s="14"/>
      <c r="D281" s="36"/>
      <c r="E281" s="14">
        <v>0.1</v>
      </c>
      <c r="F281" s="10">
        <f t="shared" si="10"/>
        <v>0.1</v>
      </c>
      <c r="G281" s="151" t="e">
        <f t="shared" si="11"/>
        <v>#DIV/0!</v>
      </c>
      <c r="H281" s="21"/>
    </row>
    <row r="282" spans="1:8" s="4" customFormat="1" ht="26.25" customHeight="1">
      <c r="A282" s="168" t="s">
        <v>456</v>
      </c>
      <c r="B282" s="85"/>
      <c r="C282" s="14"/>
      <c r="D282" s="36"/>
      <c r="E282" s="14">
        <v>0.7</v>
      </c>
      <c r="F282" s="10">
        <f t="shared" si="10"/>
        <v>0.7</v>
      </c>
      <c r="G282" s="151" t="e">
        <f t="shared" si="11"/>
        <v>#DIV/0!</v>
      </c>
      <c r="H282" s="21"/>
    </row>
    <row r="283" spans="1:8" s="4" customFormat="1" ht="26.25" customHeight="1">
      <c r="A283" s="19" t="s">
        <v>457</v>
      </c>
      <c r="B283" s="85"/>
      <c r="C283" s="14"/>
      <c r="D283" s="36"/>
      <c r="E283" s="14">
        <v>0.2</v>
      </c>
      <c r="F283" s="10">
        <f t="shared" si="10"/>
        <v>0.2</v>
      </c>
      <c r="G283" s="151" t="e">
        <f t="shared" si="11"/>
        <v>#DIV/0!</v>
      </c>
      <c r="H283" s="21"/>
    </row>
    <row r="284" spans="1:8" s="4" customFormat="1" ht="26.25" customHeight="1">
      <c r="A284" s="19" t="s">
        <v>458</v>
      </c>
      <c r="B284" s="85"/>
      <c r="C284" s="14"/>
      <c r="D284" s="36"/>
      <c r="E284" s="14">
        <v>4.8</v>
      </c>
      <c r="F284" s="10">
        <f t="shared" si="10"/>
        <v>4.8</v>
      </c>
      <c r="G284" s="151" t="e">
        <f t="shared" si="11"/>
        <v>#DIV/0!</v>
      </c>
      <c r="H284" s="21"/>
    </row>
    <row r="285" spans="1:8" s="4" customFormat="1" ht="60.75" customHeight="1">
      <c r="A285" s="168" t="s">
        <v>459</v>
      </c>
      <c r="B285" s="85"/>
      <c r="C285" s="14"/>
      <c r="D285" s="36"/>
      <c r="E285" s="14">
        <v>4.7</v>
      </c>
      <c r="F285" s="10">
        <f t="shared" si="10"/>
        <v>4.7</v>
      </c>
      <c r="G285" s="151" t="e">
        <f t="shared" si="11"/>
        <v>#DIV/0!</v>
      </c>
      <c r="H285" s="21"/>
    </row>
    <row r="286" spans="1:8" s="4" customFormat="1" ht="26.25" customHeight="1">
      <c r="A286" s="19" t="s">
        <v>460</v>
      </c>
      <c r="B286" s="85"/>
      <c r="C286" s="14"/>
      <c r="D286" s="36"/>
      <c r="E286" s="14">
        <v>4</v>
      </c>
      <c r="F286" s="10">
        <f t="shared" si="10"/>
        <v>4</v>
      </c>
      <c r="G286" s="151" t="e">
        <f t="shared" si="11"/>
        <v>#DIV/0!</v>
      </c>
      <c r="H286" s="21"/>
    </row>
    <row r="287" spans="1:8" s="4" customFormat="1" ht="26.25" customHeight="1">
      <c r="A287" s="19" t="s">
        <v>461</v>
      </c>
      <c r="B287" s="85"/>
      <c r="C287" s="14"/>
      <c r="D287" s="36"/>
      <c r="E287" s="14">
        <v>0.7</v>
      </c>
      <c r="F287" s="10">
        <f t="shared" si="10"/>
        <v>0.7</v>
      </c>
      <c r="G287" s="151" t="e">
        <f t="shared" si="11"/>
        <v>#DIV/0!</v>
      </c>
      <c r="H287" s="21"/>
    </row>
    <row r="288" spans="1:8" s="4" customFormat="1" ht="26.25" customHeight="1">
      <c r="A288" s="19" t="s">
        <v>462</v>
      </c>
      <c r="B288" s="85"/>
      <c r="C288" s="14"/>
      <c r="D288" s="36"/>
      <c r="E288" s="14">
        <v>4</v>
      </c>
      <c r="F288" s="10">
        <f t="shared" si="10"/>
        <v>4</v>
      </c>
      <c r="G288" s="151" t="e">
        <f t="shared" si="11"/>
        <v>#DIV/0!</v>
      </c>
      <c r="H288" s="21"/>
    </row>
    <row r="289" spans="1:8" s="4" customFormat="1" ht="27.75" customHeight="1">
      <c r="A289" s="19" t="s">
        <v>463</v>
      </c>
      <c r="B289" s="85"/>
      <c r="C289" s="14"/>
      <c r="D289" s="36"/>
      <c r="E289" s="14">
        <v>4</v>
      </c>
      <c r="F289" s="10">
        <f t="shared" si="10"/>
        <v>4</v>
      </c>
      <c r="G289" s="151" t="e">
        <f t="shared" si="11"/>
        <v>#DIV/0!</v>
      </c>
      <c r="H289" s="21"/>
    </row>
    <row r="290" spans="1:8" s="4" customFormat="1" ht="26.25" customHeight="1">
      <c r="A290" s="19" t="s">
        <v>464</v>
      </c>
      <c r="B290" s="85"/>
      <c r="C290" s="14"/>
      <c r="D290" s="36"/>
      <c r="E290" s="14">
        <v>3.5</v>
      </c>
      <c r="F290" s="10">
        <f t="shared" si="10"/>
        <v>3.5</v>
      </c>
      <c r="G290" s="151" t="e">
        <f t="shared" si="11"/>
        <v>#DIV/0!</v>
      </c>
      <c r="H290" s="21"/>
    </row>
    <row r="291" spans="1:8" s="4" customFormat="1" ht="26.25" customHeight="1">
      <c r="A291" s="19" t="s">
        <v>465</v>
      </c>
      <c r="B291" s="85"/>
      <c r="C291" s="14"/>
      <c r="D291" s="36"/>
      <c r="E291" s="14">
        <v>3.3</v>
      </c>
      <c r="F291" s="10">
        <f t="shared" si="10"/>
        <v>3.3</v>
      </c>
      <c r="G291" s="151" t="e">
        <f t="shared" si="11"/>
        <v>#DIV/0!</v>
      </c>
      <c r="H291" s="21"/>
    </row>
    <row r="292" spans="1:8" s="4" customFormat="1" ht="30.75" customHeight="1">
      <c r="A292" s="19" t="s">
        <v>466</v>
      </c>
      <c r="B292" s="85"/>
      <c r="C292" s="14"/>
      <c r="D292" s="36"/>
      <c r="E292" s="14">
        <v>0.8</v>
      </c>
      <c r="F292" s="10">
        <f t="shared" ref="F292:F312" si="12">E292-D292</f>
        <v>0.8</v>
      </c>
      <c r="G292" s="151" t="e">
        <f t="shared" ref="G292:G312" si="13">(E292/D292)*100</f>
        <v>#DIV/0!</v>
      </c>
      <c r="H292" s="21"/>
    </row>
    <row r="293" spans="1:8" s="4" customFormat="1" ht="41.25" customHeight="1">
      <c r="A293" s="168" t="s">
        <v>467</v>
      </c>
      <c r="B293" s="85"/>
      <c r="C293" s="14"/>
      <c r="D293" s="36"/>
      <c r="E293" s="14">
        <v>2.2000000000000002</v>
      </c>
      <c r="F293" s="10">
        <f t="shared" si="12"/>
        <v>2.2000000000000002</v>
      </c>
      <c r="G293" s="151" t="e">
        <f t="shared" si="13"/>
        <v>#DIV/0!</v>
      </c>
      <c r="H293" s="21"/>
    </row>
    <row r="294" spans="1:8" s="4" customFormat="1" ht="26.25" customHeight="1">
      <c r="A294" s="168" t="s">
        <v>468</v>
      </c>
      <c r="B294" s="85"/>
      <c r="C294" s="14"/>
      <c r="D294" s="36"/>
      <c r="E294" s="14">
        <v>2.8</v>
      </c>
      <c r="F294" s="10">
        <f t="shared" si="12"/>
        <v>2.8</v>
      </c>
      <c r="G294" s="151" t="e">
        <f t="shared" si="13"/>
        <v>#DIV/0!</v>
      </c>
      <c r="H294" s="21"/>
    </row>
    <row r="295" spans="1:8" s="4" customFormat="1" ht="60.75" customHeight="1">
      <c r="A295" s="168" t="s">
        <v>469</v>
      </c>
      <c r="B295" s="85"/>
      <c r="C295" s="14"/>
      <c r="D295" s="36"/>
      <c r="E295" s="14">
        <v>2.4</v>
      </c>
      <c r="F295" s="10">
        <f t="shared" si="12"/>
        <v>2.4</v>
      </c>
      <c r="G295" s="151" t="e">
        <f t="shared" si="13"/>
        <v>#DIV/0!</v>
      </c>
      <c r="H295" s="21"/>
    </row>
    <row r="296" spans="1:8" s="4" customFormat="1" ht="26.25" customHeight="1">
      <c r="A296" s="19" t="s">
        <v>470</v>
      </c>
      <c r="B296" s="85"/>
      <c r="C296" s="14"/>
      <c r="D296" s="36"/>
      <c r="E296" s="14">
        <v>2.1</v>
      </c>
      <c r="F296" s="10">
        <f t="shared" si="12"/>
        <v>2.1</v>
      </c>
      <c r="G296" s="151" t="e">
        <f t="shared" si="13"/>
        <v>#DIV/0!</v>
      </c>
      <c r="H296" s="21"/>
    </row>
    <row r="297" spans="1:8" s="4" customFormat="1" ht="26.25" customHeight="1">
      <c r="A297" s="19" t="s">
        <v>471</v>
      </c>
      <c r="B297" s="85"/>
      <c r="C297" s="14"/>
      <c r="D297" s="36"/>
      <c r="E297" s="14">
        <v>0.2</v>
      </c>
      <c r="F297" s="10">
        <f t="shared" si="12"/>
        <v>0.2</v>
      </c>
      <c r="G297" s="151" t="e">
        <f t="shared" si="13"/>
        <v>#DIV/0!</v>
      </c>
      <c r="H297" s="21"/>
    </row>
    <row r="298" spans="1:8" s="4" customFormat="1" ht="24" customHeight="1">
      <c r="A298" s="168" t="s">
        <v>472</v>
      </c>
      <c r="B298" s="85"/>
      <c r="C298" s="14"/>
      <c r="D298" s="36"/>
      <c r="E298" s="14">
        <v>1.6</v>
      </c>
      <c r="F298" s="10">
        <f t="shared" si="12"/>
        <v>1.6</v>
      </c>
      <c r="G298" s="151" t="e">
        <f t="shared" si="13"/>
        <v>#DIV/0!</v>
      </c>
      <c r="H298" s="21"/>
    </row>
    <row r="299" spans="1:8" s="4" customFormat="1" ht="26.25" customHeight="1">
      <c r="A299" s="19" t="s">
        <v>287</v>
      </c>
      <c r="B299" s="85"/>
      <c r="C299" s="14"/>
      <c r="D299" s="36"/>
      <c r="E299" s="14">
        <v>1</v>
      </c>
      <c r="F299" s="10">
        <f t="shared" si="12"/>
        <v>1</v>
      </c>
      <c r="G299" s="151" t="e">
        <f t="shared" si="13"/>
        <v>#DIV/0!</v>
      </c>
      <c r="H299" s="21"/>
    </row>
    <row r="300" spans="1:8" s="4" customFormat="1" ht="26.25" customHeight="1">
      <c r="A300" s="19" t="s">
        <v>473</v>
      </c>
      <c r="B300" s="85"/>
      <c r="C300" s="14"/>
      <c r="D300" s="36"/>
      <c r="E300" s="14">
        <v>1</v>
      </c>
      <c r="F300" s="10">
        <f t="shared" si="12"/>
        <v>1</v>
      </c>
      <c r="G300" s="151" t="e">
        <f t="shared" si="13"/>
        <v>#DIV/0!</v>
      </c>
      <c r="H300" s="21"/>
    </row>
    <row r="301" spans="1:8" s="4" customFormat="1" ht="26.25" customHeight="1">
      <c r="A301" s="19" t="s">
        <v>474</v>
      </c>
      <c r="B301" s="85"/>
      <c r="C301" s="14"/>
      <c r="D301" s="36"/>
      <c r="E301" s="14">
        <v>0.9</v>
      </c>
      <c r="F301" s="10">
        <f t="shared" si="12"/>
        <v>0.9</v>
      </c>
      <c r="G301" s="151" t="e">
        <f t="shared" si="13"/>
        <v>#DIV/0!</v>
      </c>
      <c r="H301" s="21"/>
    </row>
    <row r="302" spans="1:8" s="4" customFormat="1" ht="26.25" customHeight="1">
      <c r="A302" s="19" t="s">
        <v>288</v>
      </c>
      <c r="B302" s="85"/>
      <c r="C302" s="14"/>
      <c r="D302" s="36"/>
      <c r="E302" s="14">
        <v>0.5</v>
      </c>
      <c r="F302" s="10">
        <f t="shared" si="12"/>
        <v>0.5</v>
      </c>
      <c r="G302" s="151" t="e">
        <f t="shared" si="13"/>
        <v>#DIV/0!</v>
      </c>
      <c r="H302" s="21"/>
    </row>
    <row r="303" spans="1:8" s="4" customFormat="1" ht="26.25" customHeight="1">
      <c r="A303" s="19" t="s">
        <v>475</v>
      </c>
      <c r="B303" s="85"/>
      <c r="C303" s="14"/>
      <c r="D303" s="36"/>
      <c r="E303" s="14">
        <v>0.4</v>
      </c>
      <c r="F303" s="10">
        <f t="shared" si="12"/>
        <v>0.4</v>
      </c>
      <c r="G303" s="151" t="e">
        <f t="shared" si="13"/>
        <v>#DIV/0!</v>
      </c>
      <c r="H303" s="21"/>
    </row>
    <row r="304" spans="1:8" s="4" customFormat="1" ht="30.75" customHeight="1">
      <c r="A304" s="19" t="s">
        <v>476</v>
      </c>
      <c r="B304" s="85"/>
      <c r="C304" s="14"/>
      <c r="D304" s="36"/>
      <c r="E304" s="14">
        <v>0.2</v>
      </c>
      <c r="F304" s="10">
        <f t="shared" si="12"/>
        <v>0.2</v>
      </c>
      <c r="G304" s="151" t="e">
        <f t="shared" si="13"/>
        <v>#DIV/0!</v>
      </c>
      <c r="H304" s="21"/>
    </row>
    <row r="305" spans="1:8" s="4" customFormat="1" ht="30.75" customHeight="1">
      <c r="A305" s="19" t="s">
        <v>477</v>
      </c>
      <c r="B305" s="85"/>
      <c r="C305" s="14"/>
      <c r="D305" s="36"/>
      <c r="E305" s="14">
        <v>0.3</v>
      </c>
      <c r="F305" s="10">
        <f t="shared" si="12"/>
        <v>0.3</v>
      </c>
      <c r="G305" s="151" t="e">
        <f t="shared" si="13"/>
        <v>#DIV/0!</v>
      </c>
      <c r="H305" s="21"/>
    </row>
    <row r="306" spans="1:8" s="4" customFormat="1" ht="26.25" customHeight="1">
      <c r="A306" s="19" t="s">
        <v>478</v>
      </c>
      <c r="B306" s="85"/>
      <c r="C306" s="14"/>
      <c r="D306" s="36"/>
      <c r="E306" s="14">
        <v>0.2</v>
      </c>
      <c r="F306" s="10">
        <f t="shared" si="12"/>
        <v>0.2</v>
      </c>
      <c r="G306" s="151" t="e">
        <f t="shared" si="13"/>
        <v>#DIV/0!</v>
      </c>
      <c r="H306" s="21"/>
    </row>
    <row r="307" spans="1:8" s="4" customFormat="1" ht="26.25" customHeight="1">
      <c r="A307" s="19" t="s">
        <v>289</v>
      </c>
      <c r="B307" s="85"/>
      <c r="C307" s="14"/>
      <c r="D307" s="36"/>
      <c r="E307" s="14">
        <v>0.1</v>
      </c>
      <c r="F307" s="10">
        <f t="shared" si="12"/>
        <v>0.1</v>
      </c>
      <c r="G307" s="151" t="e">
        <f t="shared" si="13"/>
        <v>#DIV/0!</v>
      </c>
      <c r="H307" s="21"/>
    </row>
    <row r="308" spans="1:8" s="4" customFormat="1" ht="26.25" customHeight="1">
      <c r="A308" s="19" t="s">
        <v>479</v>
      </c>
      <c r="B308" s="85"/>
      <c r="C308" s="14"/>
      <c r="D308" s="36"/>
      <c r="E308" s="14">
        <v>0.1</v>
      </c>
      <c r="F308" s="10">
        <f t="shared" si="12"/>
        <v>0.1</v>
      </c>
      <c r="G308" s="151" t="e">
        <f t="shared" si="13"/>
        <v>#DIV/0!</v>
      </c>
      <c r="H308" s="21"/>
    </row>
    <row r="309" spans="1:8" s="4" customFormat="1" ht="26.25" customHeight="1">
      <c r="A309" s="19" t="s">
        <v>480</v>
      </c>
      <c r="B309" s="85"/>
      <c r="C309" s="14"/>
      <c r="D309" s="36"/>
      <c r="E309" s="14">
        <v>0.7</v>
      </c>
      <c r="F309" s="10">
        <f t="shared" si="12"/>
        <v>0.7</v>
      </c>
      <c r="G309" s="151" t="e">
        <f t="shared" si="13"/>
        <v>#DIV/0!</v>
      </c>
      <c r="H309" s="21"/>
    </row>
    <row r="310" spans="1:8" s="4" customFormat="1" ht="26.25" customHeight="1">
      <c r="A310" s="19" t="s">
        <v>481</v>
      </c>
      <c r="B310" s="85"/>
      <c r="C310" s="14"/>
      <c r="D310" s="36"/>
      <c r="E310" s="14">
        <v>1.2</v>
      </c>
      <c r="F310" s="10">
        <f t="shared" si="12"/>
        <v>1.2</v>
      </c>
      <c r="G310" s="151" t="e">
        <f t="shared" si="13"/>
        <v>#DIV/0!</v>
      </c>
      <c r="H310" s="21"/>
    </row>
    <row r="311" spans="1:8" s="4" customFormat="1" ht="32.25" customHeight="1">
      <c r="A311" s="19" t="s">
        <v>482</v>
      </c>
      <c r="B311" s="85"/>
      <c r="C311" s="14"/>
      <c r="D311" s="36"/>
      <c r="E311" s="14">
        <v>0.4</v>
      </c>
      <c r="F311" s="10">
        <f t="shared" si="12"/>
        <v>0.4</v>
      </c>
      <c r="G311" s="151" t="e">
        <f t="shared" si="13"/>
        <v>#DIV/0!</v>
      </c>
      <c r="H311" s="21"/>
    </row>
    <row r="312" spans="1:8" s="4" customFormat="1" ht="26.25" customHeight="1">
      <c r="A312" s="19" t="s">
        <v>483</v>
      </c>
      <c r="B312" s="85"/>
      <c r="C312" s="14"/>
      <c r="D312" s="36"/>
      <c r="E312" s="14">
        <v>52.2</v>
      </c>
      <c r="F312" s="10">
        <f t="shared" si="12"/>
        <v>52.2</v>
      </c>
      <c r="G312" s="151" t="e">
        <f t="shared" si="13"/>
        <v>#DIV/0!</v>
      </c>
      <c r="H312" s="21"/>
    </row>
    <row r="313" spans="1:8" s="4" customFormat="1" ht="63" customHeight="1">
      <c r="A313" s="59" t="s">
        <v>63</v>
      </c>
      <c r="B313" s="294">
        <v>4050</v>
      </c>
      <c r="C313" s="36">
        <f>C314+C315</f>
        <v>2562.8000000000002</v>
      </c>
      <c r="D313" s="36"/>
      <c r="E313" s="36"/>
      <c r="F313" s="36">
        <f t="shared" ref="F313:F320" si="14">E313-D313</f>
        <v>0</v>
      </c>
      <c r="G313" s="295" t="e">
        <f t="shared" ref="G313:G320" si="15">(E313/D313)*100</f>
        <v>#DIV/0!</v>
      </c>
      <c r="H313" s="21"/>
    </row>
    <row r="314" spans="1:8" s="4" customFormat="1" ht="84" customHeight="1">
      <c r="A314" s="168" t="s">
        <v>532</v>
      </c>
      <c r="B314" s="85"/>
      <c r="C314" s="14">
        <f>1565.9+913</f>
        <v>2478.9</v>
      </c>
      <c r="D314" s="36"/>
      <c r="E314" s="14"/>
      <c r="F314" s="10">
        <f t="shared" si="14"/>
        <v>0</v>
      </c>
      <c r="G314" s="151" t="e">
        <f t="shared" si="15"/>
        <v>#DIV/0!</v>
      </c>
      <c r="H314" s="21"/>
    </row>
    <row r="315" spans="1:8" s="4" customFormat="1" ht="159" customHeight="1">
      <c r="A315" s="168" t="s">
        <v>533</v>
      </c>
      <c r="B315" s="85"/>
      <c r="C315" s="14">
        <f>83.9</f>
        <v>83.9</v>
      </c>
      <c r="D315" s="36"/>
      <c r="E315" s="14"/>
      <c r="F315" s="10">
        <f t="shared" si="14"/>
        <v>0</v>
      </c>
      <c r="G315" s="151" t="e">
        <f t="shared" si="15"/>
        <v>#DIV/0!</v>
      </c>
      <c r="H315" s="21"/>
    </row>
    <row r="316" spans="1:8" ht="36" customHeight="1">
      <c r="A316" s="63" t="s">
        <v>39</v>
      </c>
      <c r="B316" s="60">
        <v>4060</v>
      </c>
      <c r="C316" s="36">
        <f>SUM(C317:C320)</f>
        <v>12611.7</v>
      </c>
      <c r="D316" s="36">
        <f t="shared" ref="D316:E316" si="16">SUM(D317:D320)</f>
        <v>0</v>
      </c>
      <c r="E316" s="36">
        <f t="shared" si="16"/>
        <v>3109.8</v>
      </c>
      <c r="F316" s="36">
        <f t="shared" si="14"/>
        <v>3109.8</v>
      </c>
      <c r="G316" s="151" t="e">
        <f t="shared" si="15"/>
        <v>#DIV/0!</v>
      </c>
    </row>
    <row r="317" spans="1:8" ht="99" customHeight="1">
      <c r="A317" s="70" t="s">
        <v>534</v>
      </c>
      <c r="B317" s="8"/>
      <c r="C317" s="14">
        <f>4396.5+295.6</f>
        <v>4692.1000000000004</v>
      </c>
      <c r="D317" s="14"/>
      <c r="E317" s="14"/>
      <c r="F317" s="14">
        <f t="shared" si="14"/>
        <v>0</v>
      </c>
      <c r="G317" s="171" t="e">
        <f t="shared" si="15"/>
        <v>#DIV/0!</v>
      </c>
    </row>
    <row r="318" spans="1:8" ht="116.25" customHeight="1">
      <c r="A318" s="70" t="s">
        <v>535</v>
      </c>
      <c r="B318" s="8"/>
      <c r="C318" s="14">
        <v>350</v>
      </c>
      <c r="D318" s="14"/>
      <c r="E318" s="14"/>
      <c r="F318" s="14">
        <f t="shared" si="14"/>
        <v>0</v>
      </c>
      <c r="G318" s="171" t="e">
        <f t="shared" si="15"/>
        <v>#DIV/0!</v>
      </c>
    </row>
    <row r="319" spans="1:8" ht="190.5" customHeight="1">
      <c r="A319" s="70" t="s">
        <v>536</v>
      </c>
      <c r="B319" s="8"/>
      <c r="C319" s="14">
        <f>68+629.5</f>
        <v>697.5</v>
      </c>
      <c r="D319" s="14"/>
      <c r="E319" s="14"/>
      <c r="F319" s="14">
        <f t="shared" si="14"/>
        <v>0</v>
      </c>
      <c r="G319" s="171" t="e">
        <f t="shared" si="15"/>
        <v>#DIV/0!</v>
      </c>
    </row>
    <row r="320" spans="1:8" ht="99.75" customHeight="1">
      <c r="A320" s="152" t="s">
        <v>253</v>
      </c>
      <c r="B320" s="8"/>
      <c r="C320" s="14">
        <v>6872.1</v>
      </c>
      <c r="D320" s="14"/>
      <c r="E320" s="14">
        <v>3109.8</v>
      </c>
      <c r="F320" s="10">
        <f t="shared" si="14"/>
        <v>3109.8</v>
      </c>
      <c r="G320" s="151" t="e">
        <f t="shared" si="15"/>
        <v>#DIV/0!</v>
      </c>
    </row>
    <row r="321" spans="1:8" ht="26.25" customHeight="1">
      <c r="A321" s="6"/>
      <c r="B321" s="2"/>
      <c r="C321" s="25"/>
      <c r="D321" s="25"/>
      <c r="E321" s="25"/>
      <c r="F321" s="25"/>
      <c r="G321" s="30"/>
    </row>
    <row r="322" spans="1:8" ht="26.25" customHeight="1">
      <c r="A322" s="22" t="s">
        <v>213</v>
      </c>
      <c r="B322" s="23"/>
      <c r="C322" s="209"/>
      <c r="D322" s="209"/>
      <c r="E322" s="202" t="s">
        <v>186</v>
      </c>
      <c r="F322" s="202"/>
      <c r="G322" s="202"/>
      <c r="H322" s="24"/>
    </row>
    <row r="323" spans="1:8">
      <c r="A323" s="178" t="s">
        <v>60</v>
      </c>
      <c r="B323" s="1"/>
      <c r="C323" s="206" t="s">
        <v>66</v>
      </c>
      <c r="D323" s="206"/>
      <c r="E323" s="179"/>
      <c r="F323" s="1" t="s">
        <v>17</v>
      </c>
    </row>
    <row r="324" spans="1:8">
      <c r="A324" s="6"/>
      <c r="C324" s="86"/>
      <c r="D324" s="5"/>
      <c r="E324" s="5"/>
      <c r="F324" s="5"/>
    </row>
    <row r="325" spans="1:8">
      <c r="A325" s="6"/>
      <c r="C325" s="86"/>
      <c r="D325" s="5"/>
      <c r="E325" s="5"/>
      <c r="F325" s="5"/>
    </row>
    <row r="326" spans="1:8">
      <c r="A326" s="6"/>
      <c r="C326" s="86"/>
      <c r="D326" s="5"/>
      <c r="E326" s="5"/>
      <c r="F326" s="5"/>
    </row>
    <row r="327" spans="1:8">
      <c r="A327" s="6"/>
      <c r="C327" s="86"/>
      <c r="D327" s="5"/>
      <c r="E327" s="5"/>
      <c r="F327" s="5"/>
    </row>
    <row r="328" spans="1:8">
      <c r="A328" s="6"/>
      <c r="C328" s="86"/>
      <c r="D328" s="5"/>
      <c r="E328" s="5"/>
      <c r="F328" s="5"/>
    </row>
    <row r="329" spans="1:8">
      <c r="A329" s="6"/>
      <c r="C329" s="86"/>
      <c r="D329" s="5"/>
      <c r="E329" s="5"/>
      <c r="F329" s="5"/>
    </row>
    <row r="330" spans="1:8">
      <c r="A330" s="6"/>
      <c r="C330" s="86"/>
      <c r="D330" s="5"/>
      <c r="E330" s="5"/>
      <c r="F330" s="5"/>
    </row>
    <row r="331" spans="1:8">
      <c r="A331" s="6"/>
      <c r="C331" s="86"/>
      <c r="D331" s="5"/>
      <c r="E331" s="5"/>
      <c r="F331" s="5"/>
    </row>
    <row r="332" spans="1:8">
      <c r="A332" s="6"/>
      <c r="C332" s="86"/>
      <c r="D332" s="5"/>
      <c r="E332" s="5"/>
      <c r="F332" s="5"/>
    </row>
    <row r="333" spans="1:8">
      <c r="A333" s="6"/>
      <c r="C333" s="86"/>
      <c r="D333" s="5"/>
      <c r="E333" s="5"/>
      <c r="F333" s="5"/>
    </row>
    <row r="334" spans="1:8">
      <c r="A334" s="6"/>
      <c r="C334" s="86"/>
      <c r="D334" s="5"/>
      <c r="E334" s="5"/>
      <c r="F334" s="5"/>
    </row>
    <row r="335" spans="1:8">
      <c r="A335" s="6"/>
      <c r="C335" s="86"/>
      <c r="D335" s="5"/>
      <c r="E335" s="5"/>
      <c r="F335" s="5"/>
    </row>
    <row r="336" spans="1:8">
      <c r="A336" s="6"/>
      <c r="C336" s="86"/>
      <c r="D336" s="5"/>
      <c r="E336" s="5"/>
      <c r="F336" s="5"/>
    </row>
    <row r="337" spans="1:6">
      <c r="A337" s="6"/>
      <c r="C337" s="86"/>
      <c r="D337" s="5"/>
      <c r="E337" s="5"/>
      <c r="F337" s="5"/>
    </row>
    <row r="338" spans="1:6">
      <c r="A338" s="6"/>
      <c r="C338" s="86"/>
      <c r="D338" s="5"/>
      <c r="E338" s="5"/>
      <c r="F338" s="5"/>
    </row>
    <row r="339" spans="1:6">
      <c r="A339" s="6"/>
      <c r="C339" s="86"/>
      <c r="D339" s="5"/>
      <c r="E339" s="5"/>
      <c r="F339" s="5"/>
    </row>
    <row r="340" spans="1:6">
      <c r="A340" s="6"/>
      <c r="C340" s="86"/>
      <c r="D340" s="5"/>
      <c r="E340" s="5"/>
      <c r="F340" s="5"/>
    </row>
    <row r="341" spans="1:6">
      <c r="A341" s="6"/>
      <c r="C341" s="86"/>
      <c r="D341" s="5"/>
      <c r="E341" s="5"/>
      <c r="F341" s="5"/>
    </row>
    <row r="342" spans="1:6">
      <c r="A342" s="6"/>
      <c r="C342" s="86"/>
      <c r="D342" s="5"/>
      <c r="E342" s="5"/>
      <c r="F342" s="5"/>
    </row>
    <row r="343" spans="1:6">
      <c r="A343" s="6"/>
      <c r="C343" s="86"/>
      <c r="D343" s="5"/>
      <c r="E343" s="5"/>
      <c r="F343" s="5"/>
    </row>
    <row r="344" spans="1:6">
      <c r="A344" s="6"/>
      <c r="C344" s="86"/>
      <c r="D344" s="5"/>
      <c r="E344" s="5"/>
      <c r="F344" s="5"/>
    </row>
    <row r="345" spans="1:6">
      <c r="A345" s="6"/>
      <c r="C345" s="86"/>
      <c r="D345" s="5"/>
      <c r="E345" s="5"/>
      <c r="F345" s="5"/>
    </row>
    <row r="346" spans="1:6">
      <c r="A346" s="6"/>
      <c r="C346" s="86"/>
      <c r="D346" s="5"/>
      <c r="E346" s="5"/>
      <c r="F346" s="5"/>
    </row>
    <row r="347" spans="1:6">
      <c r="A347" s="6"/>
      <c r="C347" s="86"/>
      <c r="D347" s="5"/>
      <c r="E347" s="5"/>
      <c r="F347" s="5"/>
    </row>
    <row r="348" spans="1:6">
      <c r="A348" s="6"/>
      <c r="C348" s="86"/>
      <c r="D348" s="5"/>
      <c r="E348" s="5"/>
      <c r="F348" s="5"/>
    </row>
    <row r="349" spans="1:6">
      <c r="A349" s="6"/>
      <c r="C349" s="86"/>
      <c r="D349" s="5"/>
      <c r="E349" s="5"/>
      <c r="F349" s="5"/>
    </row>
    <row r="350" spans="1:6">
      <c r="A350" s="6"/>
      <c r="C350" s="86"/>
      <c r="D350" s="5"/>
      <c r="E350" s="5"/>
      <c r="F350" s="5"/>
    </row>
    <row r="351" spans="1:6">
      <c r="A351" s="6"/>
      <c r="C351" s="86"/>
      <c r="D351" s="5"/>
      <c r="E351" s="5"/>
      <c r="F351" s="5"/>
    </row>
    <row r="352" spans="1:6">
      <c r="A352" s="6"/>
      <c r="C352" s="86"/>
      <c r="D352" s="5"/>
      <c r="E352" s="5"/>
      <c r="F352" s="5"/>
    </row>
    <row r="353" spans="1:6">
      <c r="A353" s="6"/>
      <c r="C353" s="86"/>
      <c r="D353" s="5"/>
      <c r="E353" s="5"/>
      <c r="F353" s="5"/>
    </row>
    <row r="354" spans="1:6">
      <c r="A354" s="6"/>
      <c r="C354" s="86"/>
      <c r="D354" s="5"/>
      <c r="E354" s="5"/>
      <c r="F354" s="5"/>
    </row>
    <row r="355" spans="1:6">
      <c r="A355" s="6"/>
      <c r="C355" s="86"/>
      <c r="D355" s="5"/>
      <c r="E355" s="5"/>
      <c r="F355" s="5"/>
    </row>
    <row r="356" spans="1:6">
      <c r="A356" s="6"/>
      <c r="C356" s="86"/>
      <c r="D356" s="5"/>
      <c r="E356" s="5"/>
      <c r="F356" s="5"/>
    </row>
    <row r="357" spans="1:6">
      <c r="A357" s="6"/>
      <c r="C357" s="86"/>
      <c r="D357" s="5"/>
      <c r="E357" s="5"/>
      <c r="F357" s="5"/>
    </row>
    <row r="358" spans="1:6">
      <c r="A358" s="6"/>
      <c r="C358" s="86"/>
      <c r="D358" s="5"/>
      <c r="E358" s="5"/>
      <c r="F358" s="5"/>
    </row>
    <row r="359" spans="1:6">
      <c r="A359" s="6"/>
      <c r="C359" s="86"/>
      <c r="D359" s="5"/>
      <c r="E359" s="5"/>
      <c r="F359" s="5"/>
    </row>
    <row r="360" spans="1:6">
      <c r="A360" s="6"/>
      <c r="C360" s="86"/>
      <c r="D360" s="5"/>
      <c r="E360" s="5"/>
      <c r="F360" s="5"/>
    </row>
    <row r="361" spans="1:6">
      <c r="A361" s="6"/>
      <c r="C361" s="86"/>
      <c r="D361" s="5"/>
      <c r="E361" s="5"/>
      <c r="F361" s="5"/>
    </row>
    <row r="362" spans="1:6">
      <c r="A362" s="6"/>
      <c r="C362" s="86"/>
      <c r="D362" s="5"/>
      <c r="E362" s="5"/>
      <c r="F362" s="5"/>
    </row>
    <row r="363" spans="1:6">
      <c r="A363" s="6"/>
      <c r="C363" s="86"/>
      <c r="D363" s="5"/>
      <c r="E363" s="5"/>
      <c r="F363" s="5"/>
    </row>
    <row r="364" spans="1:6">
      <c r="A364" s="6"/>
      <c r="C364" s="86"/>
      <c r="D364" s="5"/>
      <c r="E364" s="5"/>
      <c r="F364" s="5"/>
    </row>
    <row r="365" spans="1:6">
      <c r="A365" s="6"/>
      <c r="C365" s="86"/>
      <c r="D365" s="5"/>
      <c r="E365" s="5"/>
      <c r="F365" s="5"/>
    </row>
    <row r="366" spans="1:6">
      <c r="A366" s="6"/>
      <c r="C366" s="86"/>
      <c r="D366" s="5"/>
      <c r="E366" s="5"/>
      <c r="F366" s="5"/>
    </row>
    <row r="367" spans="1:6">
      <c r="A367" s="6"/>
      <c r="C367" s="86"/>
      <c r="D367" s="5"/>
      <c r="E367" s="5"/>
      <c r="F367" s="5"/>
    </row>
    <row r="368" spans="1:6">
      <c r="A368" s="6"/>
      <c r="C368" s="86"/>
      <c r="D368" s="5"/>
      <c r="E368" s="5"/>
      <c r="F368" s="5"/>
    </row>
    <row r="369" spans="1:6">
      <c r="A369" s="6"/>
      <c r="C369" s="86"/>
      <c r="D369" s="5"/>
      <c r="E369" s="5"/>
      <c r="F369" s="5"/>
    </row>
    <row r="370" spans="1:6">
      <c r="A370" s="6"/>
      <c r="C370" s="86"/>
      <c r="D370" s="5"/>
      <c r="E370" s="5"/>
      <c r="F370" s="5"/>
    </row>
    <row r="371" spans="1:6">
      <c r="A371" s="6"/>
      <c r="C371" s="86"/>
      <c r="D371" s="5"/>
      <c r="E371" s="5"/>
      <c r="F371" s="5"/>
    </row>
    <row r="372" spans="1:6">
      <c r="A372" s="6"/>
      <c r="C372" s="86"/>
      <c r="D372" s="5"/>
      <c r="E372" s="5"/>
      <c r="F372" s="5"/>
    </row>
    <row r="373" spans="1:6">
      <c r="A373" s="6"/>
      <c r="C373" s="86"/>
      <c r="D373" s="5"/>
      <c r="E373" s="5"/>
      <c r="F373" s="5"/>
    </row>
    <row r="374" spans="1:6">
      <c r="A374" s="6"/>
      <c r="C374" s="86"/>
      <c r="D374" s="5"/>
      <c r="E374" s="5"/>
      <c r="F374" s="5"/>
    </row>
    <row r="375" spans="1:6">
      <c r="A375" s="6"/>
      <c r="C375" s="86"/>
      <c r="D375" s="5"/>
      <c r="E375" s="5"/>
      <c r="F375" s="5"/>
    </row>
    <row r="376" spans="1:6">
      <c r="A376" s="6"/>
      <c r="C376" s="86"/>
      <c r="D376" s="5"/>
      <c r="E376" s="5"/>
      <c r="F376" s="5"/>
    </row>
    <row r="377" spans="1:6">
      <c r="A377" s="6"/>
      <c r="C377" s="86"/>
      <c r="D377" s="5"/>
      <c r="E377" s="5"/>
      <c r="F377" s="5"/>
    </row>
    <row r="378" spans="1:6">
      <c r="A378" s="6"/>
    </row>
    <row r="379" spans="1:6">
      <c r="A379" s="7"/>
    </row>
    <row r="380" spans="1:6">
      <c r="A380" s="7"/>
    </row>
    <row r="381" spans="1:6">
      <c r="A381" s="7"/>
    </row>
    <row r="382" spans="1:6">
      <c r="A382" s="7"/>
    </row>
    <row r="383" spans="1:6">
      <c r="A383" s="7"/>
    </row>
    <row r="384" spans="1:6">
      <c r="A384" s="7"/>
    </row>
    <row r="385" spans="1:1">
      <c r="A385" s="7"/>
    </row>
    <row r="386" spans="1:1">
      <c r="A386" s="7"/>
    </row>
    <row r="387" spans="1:1">
      <c r="A387" s="7"/>
    </row>
    <row r="388" spans="1:1">
      <c r="A388" s="7"/>
    </row>
    <row r="389" spans="1:1">
      <c r="A389" s="7"/>
    </row>
    <row r="390" spans="1:1">
      <c r="A390" s="7"/>
    </row>
    <row r="391" spans="1:1">
      <c r="A391" s="7"/>
    </row>
    <row r="392" spans="1:1">
      <c r="A392" s="7"/>
    </row>
    <row r="393" spans="1:1">
      <c r="A393" s="7"/>
    </row>
    <row r="394" spans="1:1">
      <c r="A394" s="7"/>
    </row>
    <row r="395" spans="1:1">
      <c r="A395" s="7"/>
    </row>
    <row r="396" spans="1:1">
      <c r="A396" s="7"/>
    </row>
    <row r="397" spans="1:1">
      <c r="A397" s="7"/>
    </row>
    <row r="398" spans="1:1">
      <c r="A398" s="7"/>
    </row>
    <row r="399" spans="1:1">
      <c r="A399" s="7"/>
    </row>
    <row r="400" spans="1:1">
      <c r="A400" s="7"/>
    </row>
    <row r="401" spans="1:1">
      <c r="A401" s="7"/>
    </row>
    <row r="402" spans="1:1">
      <c r="A402" s="7"/>
    </row>
    <row r="403" spans="1:1">
      <c r="A403" s="7"/>
    </row>
    <row r="404" spans="1:1">
      <c r="A404" s="7"/>
    </row>
    <row r="405" spans="1:1">
      <c r="A405" s="7"/>
    </row>
    <row r="406" spans="1:1">
      <c r="A406" s="7"/>
    </row>
    <row r="407" spans="1:1">
      <c r="A407" s="7"/>
    </row>
    <row r="408" spans="1:1">
      <c r="A408" s="7"/>
    </row>
    <row r="409" spans="1:1">
      <c r="A409" s="7"/>
    </row>
    <row r="410" spans="1:1">
      <c r="A410" s="7"/>
    </row>
    <row r="411" spans="1:1">
      <c r="A411" s="7"/>
    </row>
    <row r="412" spans="1:1">
      <c r="A412" s="7"/>
    </row>
    <row r="413" spans="1:1">
      <c r="A413" s="7"/>
    </row>
    <row r="414" spans="1:1">
      <c r="A414" s="7"/>
    </row>
    <row r="415" spans="1:1">
      <c r="A415" s="7"/>
    </row>
    <row r="416" spans="1:1">
      <c r="A416" s="7"/>
    </row>
    <row r="417" spans="1:1">
      <c r="A417" s="7"/>
    </row>
    <row r="418" spans="1:1">
      <c r="A418" s="7"/>
    </row>
    <row r="419" spans="1:1">
      <c r="A419" s="7"/>
    </row>
    <row r="420" spans="1:1">
      <c r="A420" s="7"/>
    </row>
    <row r="421" spans="1:1">
      <c r="A421" s="7"/>
    </row>
    <row r="422" spans="1:1">
      <c r="A422" s="7"/>
    </row>
    <row r="423" spans="1:1">
      <c r="A423" s="7"/>
    </row>
    <row r="424" spans="1:1">
      <c r="A424" s="7"/>
    </row>
    <row r="425" spans="1:1">
      <c r="A425" s="7"/>
    </row>
    <row r="426" spans="1:1">
      <c r="A426" s="7"/>
    </row>
    <row r="427" spans="1:1">
      <c r="A427" s="7"/>
    </row>
    <row r="428" spans="1:1">
      <c r="A428" s="7"/>
    </row>
    <row r="429" spans="1:1">
      <c r="A429" s="7"/>
    </row>
    <row r="430" spans="1:1">
      <c r="A430" s="7"/>
    </row>
    <row r="431" spans="1:1">
      <c r="A431" s="7"/>
    </row>
    <row r="432" spans="1:1">
      <c r="A432" s="7"/>
    </row>
    <row r="433" spans="1:1">
      <c r="A433" s="7"/>
    </row>
    <row r="434" spans="1:1">
      <c r="A434" s="7"/>
    </row>
    <row r="435" spans="1:1">
      <c r="A435" s="7"/>
    </row>
    <row r="436" spans="1:1">
      <c r="A436" s="7"/>
    </row>
    <row r="437" spans="1:1">
      <c r="A437" s="7"/>
    </row>
    <row r="438" spans="1:1">
      <c r="A438" s="7"/>
    </row>
    <row r="439" spans="1:1">
      <c r="A439" s="7"/>
    </row>
    <row r="440" spans="1:1">
      <c r="A440" s="7"/>
    </row>
    <row r="441" spans="1:1">
      <c r="A441" s="7"/>
    </row>
    <row r="442" spans="1:1">
      <c r="A442" s="7"/>
    </row>
    <row r="443" spans="1:1">
      <c r="A443" s="7"/>
    </row>
    <row r="444" spans="1:1">
      <c r="A444" s="7"/>
    </row>
    <row r="445" spans="1:1">
      <c r="A445" s="7"/>
    </row>
    <row r="446" spans="1:1">
      <c r="A446" s="7"/>
    </row>
    <row r="447" spans="1:1">
      <c r="A447" s="7"/>
    </row>
    <row r="448" spans="1:1">
      <c r="A448" s="7"/>
    </row>
    <row r="449" spans="1:1">
      <c r="A449" s="7"/>
    </row>
    <row r="450" spans="1:1">
      <c r="A450" s="7"/>
    </row>
    <row r="451" spans="1:1">
      <c r="A451" s="7"/>
    </row>
    <row r="452" spans="1:1">
      <c r="A452" s="7"/>
    </row>
    <row r="453" spans="1:1">
      <c r="A453" s="7"/>
    </row>
    <row r="454" spans="1:1">
      <c r="A454" s="7"/>
    </row>
    <row r="455" spans="1:1">
      <c r="A455" s="7"/>
    </row>
    <row r="456" spans="1:1">
      <c r="A456" s="7"/>
    </row>
    <row r="457" spans="1:1">
      <c r="A457" s="7"/>
    </row>
    <row r="458" spans="1:1">
      <c r="A458" s="7"/>
    </row>
    <row r="459" spans="1:1">
      <c r="A459" s="7"/>
    </row>
    <row r="460" spans="1:1">
      <c r="A460" s="7"/>
    </row>
    <row r="461" spans="1:1">
      <c r="A461" s="7"/>
    </row>
    <row r="462" spans="1:1">
      <c r="A462" s="7"/>
    </row>
    <row r="463" spans="1:1">
      <c r="A463" s="7"/>
    </row>
    <row r="464" spans="1:1">
      <c r="A464" s="7"/>
    </row>
    <row r="465" spans="1:1">
      <c r="A465" s="7"/>
    </row>
    <row r="466" spans="1:1">
      <c r="A466" s="7"/>
    </row>
    <row r="467" spans="1:1">
      <c r="A467" s="7"/>
    </row>
    <row r="468" spans="1:1">
      <c r="A468" s="7"/>
    </row>
    <row r="469" spans="1:1">
      <c r="A469" s="7"/>
    </row>
    <row r="470" spans="1:1">
      <c r="A470" s="7"/>
    </row>
    <row r="471" spans="1:1">
      <c r="A471" s="7"/>
    </row>
    <row r="472" spans="1:1">
      <c r="A472" s="7"/>
    </row>
    <row r="473" spans="1:1">
      <c r="A473" s="7"/>
    </row>
    <row r="474" spans="1:1">
      <c r="A474" s="7"/>
    </row>
    <row r="475" spans="1:1">
      <c r="A475" s="7"/>
    </row>
    <row r="476" spans="1:1">
      <c r="A476" s="7"/>
    </row>
    <row r="477" spans="1:1">
      <c r="A477" s="7"/>
    </row>
    <row r="478" spans="1:1">
      <c r="A478" s="7"/>
    </row>
    <row r="479" spans="1:1">
      <c r="A479" s="7"/>
    </row>
    <row r="480" spans="1:1">
      <c r="A480" s="7"/>
    </row>
    <row r="481" spans="1:1">
      <c r="A481" s="7"/>
    </row>
    <row r="482" spans="1:1">
      <c r="A482" s="7"/>
    </row>
    <row r="483" spans="1:1">
      <c r="A483" s="7"/>
    </row>
    <row r="484" spans="1:1">
      <c r="A484" s="7"/>
    </row>
    <row r="485" spans="1:1">
      <c r="A485" s="7"/>
    </row>
    <row r="486" spans="1:1">
      <c r="A486" s="7"/>
    </row>
    <row r="487" spans="1:1">
      <c r="A487" s="7"/>
    </row>
    <row r="488" spans="1:1">
      <c r="A488" s="7"/>
    </row>
    <row r="489" spans="1:1">
      <c r="A489" s="7"/>
    </row>
    <row r="490" spans="1:1">
      <c r="A490" s="7"/>
    </row>
    <row r="491" spans="1:1">
      <c r="A491" s="7"/>
    </row>
    <row r="492" spans="1:1">
      <c r="A492" s="7"/>
    </row>
    <row r="493" spans="1:1">
      <c r="A493" s="7"/>
    </row>
    <row r="494" spans="1:1">
      <c r="A494" s="7"/>
    </row>
    <row r="495" spans="1:1">
      <c r="A495" s="7"/>
    </row>
    <row r="496" spans="1:1">
      <c r="A496" s="7"/>
    </row>
    <row r="497" spans="1:1">
      <c r="A497" s="7"/>
    </row>
    <row r="498" spans="1:1">
      <c r="A498" s="7"/>
    </row>
    <row r="499" spans="1:1">
      <c r="A499" s="7"/>
    </row>
    <row r="500" spans="1:1">
      <c r="A500" s="7"/>
    </row>
    <row r="501" spans="1:1">
      <c r="A501" s="7"/>
    </row>
    <row r="502" spans="1:1">
      <c r="A502" s="7"/>
    </row>
    <row r="503" spans="1:1">
      <c r="A503" s="7"/>
    </row>
    <row r="504" spans="1:1">
      <c r="A504" s="7"/>
    </row>
    <row r="505" spans="1:1">
      <c r="A505" s="7"/>
    </row>
    <row r="506" spans="1:1">
      <c r="A506" s="7"/>
    </row>
    <row r="507" spans="1:1">
      <c r="A507" s="7"/>
    </row>
    <row r="508" spans="1:1">
      <c r="A508" s="7"/>
    </row>
    <row r="509" spans="1:1">
      <c r="A509" s="7"/>
    </row>
    <row r="510" spans="1:1">
      <c r="A510" s="7"/>
    </row>
    <row r="511" spans="1:1">
      <c r="A511" s="7"/>
    </row>
    <row r="512" spans="1:1">
      <c r="A512" s="7"/>
    </row>
    <row r="513" spans="1:1">
      <c r="A513" s="7"/>
    </row>
    <row r="514" spans="1:1">
      <c r="A514" s="7"/>
    </row>
    <row r="515" spans="1:1">
      <c r="A515" s="7"/>
    </row>
    <row r="516" spans="1:1">
      <c r="A516" s="7"/>
    </row>
    <row r="517" spans="1:1">
      <c r="A517" s="7"/>
    </row>
    <row r="518" spans="1:1">
      <c r="A518" s="7"/>
    </row>
    <row r="519" spans="1:1">
      <c r="A519" s="7"/>
    </row>
    <row r="520" spans="1:1">
      <c r="A520" s="7"/>
    </row>
    <row r="521" spans="1:1">
      <c r="A521" s="7"/>
    </row>
    <row r="522" spans="1:1">
      <c r="A522" s="7"/>
    </row>
    <row r="523" spans="1:1">
      <c r="A523" s="7"/>
    </row>
    <row r="524" spans="1:1">
      <c r="A524" s="7"/>
    </row>
    <row r="525" spans="1:1">
      <c r="A525" s="7"/>
    </row>
    <row r="526" spans="1:1">
      <c r="A526" s="7"/>
    </row>
    <row r="527" spans="1:1">
      <c r="A527" s="7"/>
    </row>
    <row r="528" spans="1:1">
      <c r="A528" s="7"/>
    </row>
    <row r="529" spans="1:1">
      <c r="A529" s="7"/>
    </row>
    <row r="530" spans="1:1">
      <c r="A530" s="7"/>
    </row>
    <row r="531" spans="1:1">
      <c r="A531" s="7"/>
    </row>
    <row r="532" spans="1:1">
      <c r="A532" s="7"/>
    </row>
    <row r="533" spans="1:1">
      <c r="A533" s="7"/>
    </row>
    <row r="534" spans="1:1">
      <c r="A534" s="7"/>
    </row>
    <row r="535" spans="1:1">
      <c r="A535" s="7"/>
    </row>
    <row r="536" spans="1:1">
      <c r="A536" s="7"/>
    </row>
    <row r="537" spans="1:1">
      <c r="A537" s="7"/>
    </row>
    <row r="538" spans="1:1">
      <c r="A538" s="7"/>
    </row>
    <row r="539" spans="1:1">
      <c r="A539" s="7"/>
    </row>
    <row r="540" spans="1:1">
      <c r="A540" s="7"/>
    </row>
    <row r="541" spans="1:1">
      <c r="A541" s="7"/>
    </row>
    <row r="542" spans="1:1">
      <c r="A542" s="7"/>
    </row>
    <row r="543" spans="1:1">
      <c r="A543" s="7"/>
    </row>
    <row r="544" spans="1:1">
      <c r="A544" s="7"/>
    </row>
    <row r="545" spans="1:1">
      <c r="A545" s="7"/>
    </row>
  </sheetData>
  <mergeCells count="4">
    <mergeCell ref="C322:D322"/>
    <mergeCell ref="C323:D323"/>
    <mergeCell ref="E322:G322"/>
    <mergeCell ref="A1:G1"/>
  </mergeCells>
  <hyperlinks>
    <hyperlink ref="A320" r:id="rId1" display="https://www.dzo.com.ua/tenders/20078403"/>
  </hyperlinks>
  <pageMargins left="0.39370078740157483" right="0.39370078740157483" top="0.78740157480314965" bottom="0.39370078740157483" header="0.19685039370078741" footer="0.19685039370078741"/>
  <pageSetup paperSize="9" scale="84" fitToHeight="21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  <pageSetUpPr fitToPage="1"/>
  </sheetPr>
  <dimension ref="A1:T232"/>
  <sheetViews>
    <sheetView tabSelected="1" view="pageBreakPreview" topLeftCell="A181" zoomScale="60" zoomScaleNormal="60" workbookViewId="0">
      <selection activeCell="S190" sqref="S190"/>
    </sheetView>
  </sheetViews>
  <sheetFormatPr defaultColWidth="9.140625" defaultRowHeight="20.25"/>
  <cols>
    <col min="1" max="1" width="9.85546875" style="216" customWidth="1"/>
    <col min="2" max="2" width="26.140625" style="274" customWidth="1"/>
    <col min="3" max="3" width="11.28515625" style="216" customWidth="1"/>
    <col min="4" max="4" width="15.28515625" style="216" customWidth="1"/>
    <col min="5" max="10" width="18.42578125" style="216" customWidth="1"/>
    <col min="11" max="11" width="18.7109375" style="216" customWidth="1"/>
    <col min="12" max="12" width="19" style="216" customWidth="1"/>
    <col min="13" max="14" width="18.42578125" style="216" customWidth="1"/>
    <col min="15" max="16" width="19.42578125" style="216" customWidth="1"/>
    <col min="17" max="17" width="11.140625" style="216" bestFit="1" customWidth="1"/>
    <col min="18" max="18" width="9.140625" style="216"/>
    <col min="19" max="19" width="15.28515625" style="216" customWidth="1"/>
    <col min="20" max="20" width="16.7109375" style="216" bestFit="1" customWidth="1"/>
    <col min="21" max="16384" width="9.140625" style="216"/>
  </cols>
  <sheetData>
    <row r="1" spans="1:16">
      <c r="A1" s="211"/>
      <c r="B1" s="212"/>
      <c r="C1" s="211"/>
      <c r="D1" s="211"/>
      <c r="E1" s="211"/>
      <c r="F1" s="211"/>
      <c r="G1" s="211"/>
      <c r="H1" s="211"/>
      <c r="I1" s="213"/>
      <c r="J1" s="213"/>
      <c r="K1" s="214"/>
      <c r="L1" s="215"/>
      <c r="M1" s="214"/>
      <c r="P1" s="217"/>
    </row>
    <row r="2" spans="1:16" s="218" customFormat="1" ht="42.75" customHeight="1">
      <c r="D2" s="219" t="s">
        <v>214</v>
      </c>
      <c r="E2" s="219"/>
      <c r="F2" s="219"/>
      <c r="G2" s="219"/>
      <c r="H2" s="219"/>
      <c r="I2" s="219"/>
      <c r="J2" s="219"/>
      <c r="K2" s="219"/>
      <c r="L2" s="219"/>
      <c r="M2" s="219"/>
    </row>
    <row r="3" spans="1:16">
      <c r="A3" s="214"/>
      <c r="B3" s="212"/>
      <c r="C3" s="214"/>
      <c r="D3" s="214"/>
      <c r="E3" s="211"/>
      <c r="F3" s="211"/>
      <c r="G3" s="211"/>
      <c r="H3" s="211"/>
      <c r="I3" s="211"/>
      <c r="J3" s="211"/>
      <c r="K3" s="214"/>
      <c r="L3" s="215"/>
      <c r="M3" s="214"/>
      <c r="P3" s="217" t="s">
        <v>51</v>
      </c>
    </row>
    <row r="4" spans="1:16" ht="79.5" customHeight="1">
      <c r="A4" s="220" t="s">
        <v>8</v>
      </c>
      <c r="B4" s="220" t="s">
        <v>20</v>
      </c>
      <c r="C4" s="220"/>
      <c r="D4" s="220"/>
      <c r="E4" s="220" t="s">
        <v>132</v>
      </c>
      <c r="F4" s="220"/>
      <c r="G4" s="220" t="s">
        <v>247</v>
      </c>
      <c r="H4" s="220"/>
      <c r="I4" s="220" t="s">
        <v>133</v>
      </c>
      <c r="J4" s="220"/>
      <c r="K4" s="220" t="s">
        <v>246</v>
      </c>
      <c r="L4" s="220"/>
      <c r="M4" s="220" t="s">
        <v>134</v>
      </c>
      <c r="N4" s="220"/>
      <c r="O4" s="220"/>
      <c r="P4" s="220"/>
    </row>
    <row r="5" spans="1:16" ht="85.5" customHeight="1">
      <c r="A5" s="220"/>
      <c r="B5" s="220"/>
      <c r="C5" s="220"/>
      <c r="D5" s="220"/>
      <c r="E5" s="222" t="s">
        <v>353</v>
      </c>
      <c r="F5" s="222" t="s">
        <v>354</v>
      </c>
      <c r="G5" s="222" t="s">
        <v>353</v>
      </c>
      <c r="H5" s="222" t="s">
        <v>354</v>
      </c>
      <c r="I5" s="222" t="s">
        <v>353</v>
      </c>
      <c r="J5" s="222" t="s">
        <v>354</v>
      </c>
      <c r="K5" s="222" t="s">
        <v>353</v>
      </c>
      <c r="L5" s="221" t="s">
        <v>354</v>
      </c>
      <c r="M5" s="222" t="s">
        <v>353</v>
      </c>
      <c r="N5" s="222" t="s">
        <v>354</v>
      </c>
      <c r="O5" s="222" t="s">
        <v>109</v>
      </c>
      <c r="P5" s="222" t="s">
        <v>112</v>
      </c>
    </row>
    <row r="6" spans="1:16" ht="30" customHeight="1">
      <c r="A6" s="222">
        <v>1</v>
      </c>
      <c r="B6" s="220">
        <v>2</v>
      </c>
      <c r="C6" s="220"/>
      <c r="D6" s="220"/>
      <c r="E6" s="222">
        <v>4</v>
      </c>
      <c r="F6" s="222">
        <v>5</v>
      </c>
      <c r="G6" s="222">
        <v>7</v>
      </c>
      <c r="H6" s="222">
        <v>8</v>
      </c>
      <c r="I6" s="222">
        <v>10</v>
      </c>
      <c r="J6" s="222">
        <v>11</v>
      </c>
      <c r="K6" s="223">
        <v>13</v>
      </c>
      <c r="L6" s="224">
        <v>14</v>
      </c>
      <c r="M6" s="223">
        <v>16</v>
      </c>
      <c r="N6" s="223">
        <v>17</v>
      </c>
      <c r="O6" s="223">
        <v>18</v>
      </c>
      <c r="P6" s="223">
        <v>19</v>
      </c>
    </row>
    <row r="7" spans="1:16" s="232" customFormat="1" ht="43.5" customHeight="1">
      <c r="A7" s="225" t="s">
        <v>85</v>
      </c>
      <c r="B7" s="226" t="s">
        <v>515</v>
      </c>
      <c r="C7" s="227"/>
      <c r="D7" s="228"/>
      <c r="E7" s="225"/>
      <c r="F7" s="225"/>
      <c r="G7" s="225"/>
      <c r="H7" s="225"/>
      <c r="I7" s="225"/>
      <c r="J7" s="225"/>
      <c r="K7" s="229"/>
      <c r="L7" s="230">
        <f>L8</f>
        <v>388</v>
      </c>
      <c r="M7" s="229"/>
      <c r="N7" s="231">
        <f>F7+H7+J7+L7</f>
        <v>388</v>
      </c>
      <c r="O7" s="229">
        <f t="shared" ref="O7:O8" si="0">N7-M7</f>
        <v>388</v>
      </c>
      <c r="P7" s="229" t="e">
        <f t="shared" ref="P7:P8" si="1">(N7/M7)*100</f>
        <v>#DIV/0!</v>
      </c>
    </row>
    <row r="8" spans="1:16" ht="105.75" customHeight="1">
      <c r="A8" s="222"/>
      <c r="B8" s="233" t="s">
        <v>356</v>
      </c>
      <c r="C8" s="234"/>
      <c r="D8" s="235"/>
      <c r="E8" s="222"/>
      <c r="F8" s="222"/>
      <c r="G8" s="222"/>
      <c r="H8" s="222"/>
      <c r="I8" s="222"/>
      <c r="J8" s="222"/>
      <c r="K8" s="223"/>
      <c r="L8" s="236">
        <v>388</v>
      </c>
      <c r="M8" s="223"/>
      <c r="N8" s="237">
        <f>F8+H8+J8+L8</f>
        <v>388</v>
      </c>
      <c r="O8" s="223">
        <f t="shared" si="0"/>
        <v>388</v>
      </c>
      <c r="P8" s="223" t="e">
        <f t="shared" si="1"/>
        <v>#DIV/0!</v>
      </c>
    </row>
    <row r="9" spans="1:16" ht="48" customHeight="1">
      <c r="A9" s="225" t="s">
        <v>94</v>
      </c>
      <c r="B9" s="238" t="s">
        <v>95</v>
      </c>
      <c r="C9" s="239"/>
      <c r="D9" s="239"/>
      <c r="E9" s="240">
        <f>SUM(E44:E59)</f>
        <v>0</v>
      </c>
      <c r="F9" s="240">
        <f>SUM(F44:F59)</f>
        <v>0</v>
      </c>
      <c r="G9" s="240">
        <f>SUM(G10:G59)</f>
        <v>3000.6</v>
      </c>
      <c r="H9" s="240">
        <f>SUM(H10:H68)</f>
        <v>6938.0959999999995</v>
      </c>
      <c r="I9" s="240">
        <f t="shared" ref="I9:L9" si="2">SUM(I10:I68)</f>
        <v>0</v>
      </c>
      <c r="J9" s="240">
        <f t="shared" si="2"/>
        <v>191.7</v>
      </c>
      <c r="K9" s="240">
        <f t="shared" si="2"/>
        <v>0</v>
      </c>
      <c r="L9" s="240">
        <f t="shared" si="2"/>
        <v>13287.3</v>
      </c>
      <c r="M9" s="240">
        <f>E9+G9+I9+K9</f>
        <v>3000.6</v>
      </c>
      <c r="N9" s="240">
        <f>F9+H9+J9+L9</f>
        <v>20417.095999999998</v>
      </c>
      <c r="O9" s="240">
        <f>N9-M9</f>
        <v>17416.495999999999</v>
      </c>
      <c r="P9" s="240">
        <f>(N9/M9)*100</f>
        <v>680.43377991068451</v>
      </c>
    </row>
    <row r="10" spans="1:16" ht="33.75" customHeight="1">
      <c r="A10" s="225"/>
      <c r="B10" s="241" t="s">
        <v>313</v>
      </c>
      <c r="C10" s="242"/>
      <c r="D10" s="243"/>
      <c r="E10" s="240"/>
      <c r="F10" s="240"/>
      <c r="G10" s="244">
        <v>1006.6</v>
      </c>
      <c r="H10" s="240"/>
      <c r="I10" s="240"/>
      <c r="J10" s="240"/>
      <c r="K10" s="240"/>
      <c r="L10" s="240"/>
      <c r="M10" s="221">
        <f>E10+G10+I10+K10</f>
        <v>1006.6</v>
      </c>
      <c r="N10" s="221">
        <f>F10+H10+J10+L10</f>
        <v>0</v>
      </c>
      <c r="O10" s="221">
        <f t="shared" ref="O10:O73" si="3">N10-M10</f>
        <v>-1006.6</v>
      </c>
      <c r="P10" s="240">
        <f t="shared" ref="P10:P73" si="4">(N10/M10)*100</f>
        <v>0</v>
      </c>
    </row>
    <row r="11" spans="1:16" ht="48" customHeight="1">
      <c r="A11" s="225"/>
      <c r="B11" s="241" t="s">
        <v>314</v>
      </c>
      <c r="C11" s="242"/>
      <c r="D11" s="243"/>
      <c r="E11" s="240"/>
      <c r="F11" s="240"/>
      <c r="G11" s="244">
        <v>1994</v>
      </c>
      <c r="H11" s="240"/>
      <c r="I11" s="240"/>
      <c r="J11" s="240"/>
      <c r="K11" s="240"/>
      <c r="L11" s="240"/>
      <c r="M11" s="221">
        <f t="shared" ref="M11:M74" si="5">E11+G11+I11+K11</f>
        <v>1994</v>
      </c>
      <c r="N11" s="221">
        <f t="shared" ref="N11:N74" si="6">F11+H11+J11+L11</f>
        <v>0</v>
      </c>
      <c r="O11" s="221">
        <f t="shared" si="3"/>
        <v>-1994</v>
      </c>
      <c r="P11" s="240">
        <f t="shared" si="4"/>
        <v>0</v>
      </c>
    </row>
    <row r="12" spans="1:16" ht="31.5" customHeight="1">
      <c r="A12" s="225"/>
      <c r="B12" s="241" t="s">
        <v>286</v>
      </c>
      <c r="C12" s="242"/>
      <c r="D12" s="243"/>
      <c r="E12" s="240"/>
      <c r="F12" s="240"/>
      <c r="G12" s="244"/>
      <c r="H12" s="240"/>
      <c r="I12" s="240"/>
      <c r="J12" s="221"/>
      <c r="K12" s="221"/>
      <c r="L12" s="221">
        <v>30.6</v>
      </c>
      <c r="M12" s="240">
        <f t="shared" si="5"/>
        <v>0</v>
      </c>
      <c r="N12" s="221">
        <f t="shared" si="6"/>
        <v>30.6</v>
      </c>
      <c r="O12" s="221">
        <f t="shared" si="3"/>
        <v>30.6</v>
      </c>
      <c r="P12" s="240" t="e">
        <f t="shared" si="4"/>
        <v>#DIV/0!</v>
      </c>
    </row>
    <row r="13" spans="1:16" ht="33" customHeight="1">
      <c r="A13" s="225"/>
      <c r="B13" s="241" t="s">
        <v>291</v>
      </c>
      <c r="C13" s="242"/>
      <c r="D13" s="243"/>
      <c r="E13" s="240"/>
      <c r="F13" s="240"/>
      <c r="G13" s="244"/>
      <c r="H13" s="240"/>
      <c r="I13" s="240"/>
      <c r="J13" s="221"/>
      <c r="K13" s="221"/>
      <c r="L13" s="221">
        <v>27.9</v>
      </c>
      <c r="M13" s="240">
        <f t="shared" si="5"/>
        <v>0</v>
      </c>
      <c r="N13" s="221">
        <f t="shared" si="6"/>
        <v>27.9</v>
      </c>
      <c r="O13" s="221">
        <f t="shared" si="3"/>
        <v>27.9</v>
      </c>
      <c r="P13" s="240" t="e">
        <f t="shared" si="4"/>
        <v>#DIV/0!</v>
      </c>
    </row>
    <row r="14" spans="1:16" ht="32.25" customHeight="1">
      <c r="A14" s="225"/>
      <c r="B14" s="241" t="s">
        <v>514</v>
      </c>
      <c r="C14" s="242"/>
      <c r="D14" s="243"/>
      <c r="E14" s="240"/>
      <c r="F14" s="240"/>
      <c r="G14" s="244"/>
      <c r="H14" s="240"/>
      <c r="I14" s="240"/>
      <c r="J14" s="221"/>
      <c r="K14" s="221"/>
      <c r="L14" s="221">
        <v>118.4</v>
      </c>
      <c r="M14" s="240">
        <f t="shared" si="5"/>
        <v>0</v>
      </c>
      <c r="N14" s="221">
        <f t="shared" si="6"/>
        <v>118.4</v>
      </c>
      <c r="O14" s="221">
        <f t="shared" si="3"/>
        <v>118.4</v>
      </c>
      <c r="P14" s="240" t="e">
        <f t="shared" si="4"/>
        <v>#DIV/0!</v>
      </c>
    </row>
    <row r="15" spans="1:16" ht="32.25" customHeight="1">
      <c r="A15" s="225"/>
      <c r="B15" s="241" t="s">
        <v>294</v>
      </c>
      <c r="C15" s="242"/>
      <c r="D15" s="243"/>
      <c r="E15" s="240"/>
      <c r="F15" s="240"/>
      <c r="G15" s="244"/>
      <c r="H15" s="240"/>
      <c r="I15" s="240"/>
      <c r="J15" s="221"/>
      <c r="K15" s="221"/>
      <c r="L15" s="221">
        <v>41.8</v>
      </c>
      <c r="M15" s="240">
        <f t="shared" si="5"/>
        <v>0</v>
      </c>
      <c r="N15" s="221">
        <f t="shared" si="6"/>
        <v>41.8</v>
      </c>
      <c r="O15" s="221">
        <f t="shared" si="3"/>
        <v>41.8</v>
      </c>
      <c r="P15" s="240" t="e">
        <f t="shared" si="4"/>
        <v>#DIV/0!</v>
      </c>
    </row>
    <row r="16" spans="1:16" ht="32.25" customHeight="1">
      <c r="A16" s="225"/>
      <c r="B16" s="241" t="s">
        <v>295</v>
      </c>
      <c r="C16" s="242"/>
      <c r="D16" s="243"/>
      <c r="E16" s="240"/>
      <c r="F16" s="240"/>
      <c r="G16" s="244"/>
      <c r="H16" s="240"/>
      <c r="I16" s="240"/>
      <c r="J16" s="221"/>
      <c r="K16" s="221"/>
      <c r="L16" s="221">
        <v>55.7</v>
      </c>
      <c r="M16" s="240">
        <f t="shared" si="5"/>
        <v>0</v>
      </c>
      <c r="N16" s="221">
        <f t="shared" si="6"/>
        <v>55.7</v>
      </c>
      <c r="O16" s="221">
        <f t="shared" si="3"/>
        <v>55.7</v>
      </c>
      <c r="P16" s="240" t="e">
        <f t="shared" si="4"/>
        <v>#DIV/0!</v>
      </c>
    </row>
    <row r="17" spans="1:16" ht="35.25" customHeight="1">
      <c r="A17" s="225"/>
      <c r="B17" s="241" t="s">
        <v>296</v>
      </c>
      <c r="C17" s="242"/>
      <c r="D17" s="243"/>
      <c r="E17" s="240"/>
      <c r="F17" s="240"/>
      <c r="G17" s="244"/>
      <c r="H17" s="240"/>
      <c r="I17" s="240"/>
      <c r="J17" s="221"/>
      <c r="K17" s="221"/>
      <c r="L17" s="221">
        <v>33.4</v>
      </c>
      <c r="M17" s="240">
        <f t="shared" si="5"/>
        <v>0</v>
      </c>
      <c r="N17" s="221">
        <f t="shared" si="6"/>
        <v>33.4</v>
      </c>
      <c r="O17" s="221">
        <f t="shared" si="3"/>
        <v>33.4</v>
      </c>
      <c r="P17" s="240" t="e">
        <f t="shared" si="4"/>
        <v>#DIV/0!</v>
      </c>
    </row>
    <row r="18" spans="1:16" ht="35.25" customHeight="1">
      <c r="A18" s="225"/>
      <c r="B18" s="241" t="s">
        <v>298</v>
      </c>
      <c r="C18" s="242"/>
      <c r="D18" s="243"/>
      <c r="E18" s="240"/>
      <c r="F18" s="240"/>
      <c r="G18" s="244"/>
      <c r="H18" s="240"/>
      <c r="I18" s="240"/>
      <c r="J18" s="221"/>
      <c r="K18" s="221"/>
      <c r="L18" s="221">
        <v>75.2</v>
      </c>
      <c r="M18" s="240">
        <f t="shared" si="5"/>
        <v>0</v>
      </c>
      <c r="N18" s="221">
        <f t="shared" si="6"/>
        <v>75.2</v>
      </c>
      <c r="O18" s="221">
        <f t="shared" si="3"/>
        <v>75.2</v>
      </c>
      <c r="P18" s="240" t="e">
        <f t="shared" si="4"/>
        <v>#DIV/0!</v>
      </c>
    </row>
    <row r="19" spans="1:16" ht="32.25" customHeight="1">
      <c r="A19" s="225"/>
      <c r="B19" s="241" t="s">
        <v>317</v>
      </c>
      <c r="C19" s="242"/>
      <c r="D19" s="243"/>
      <c r="E19" s="240"/>
      <c r="F19" s="240"/>
      <c r="G19" s="244"/>
      <c r="H19" s="240"/>
      <c r="I19" s="240"/>
      <c r="J19" s="221"/>
      <c r="K19" s="221"/>
      <c r="L19" s="221">
        <v>266.2</v>
      </c>
      <c r="M19" s="240">
        <f t="shared" si="5"/>
        <v>0</v>
      </c>
      <c r="N19" s="221">
        <f t="shared" si="6"/>
        <v>266.2</v>
      </c>
      <c r="O19" s="221">
        <f t="shared" si="3"/>
        <v>266.2</v>
      </c>
      <c r="P19" s="240" t="e">
        <f t="shared" si="4"/>
        <v>#DIV/0!</v>
      </c>
    </row>
    <row r="20" spans="1:16" ht="37.5" customHeight="1">
      <c r="A20" s="225"/>
      <c r="B20" s="241" t="s">
        <v>299</v>
      </c>
      <c r="C20" s="242"/>
      <c r="D20" s="243"/>
      <c r="E20" s="240"/>
      <c r="F20" s="240"/>
      <c r="G20" s="244"/>
      <c r="H20" s="240"/>
      <c r="I20" s="240"/>
      <c r="J20" s="221"/>
      <c r="K20" s="221"/>
      <c r="L20" s="221">
        <v>224.1</v>
      </c>
      <c r="M20" s="240">
        <f t="shared" si="5"/>
        <v>0</v>
      </c>
      <c r="N20" s="221">
        <f t="shared" si="6"/>
        <v>224.1</v>
      </c>
      <c r="O20" s="221">
        <f t="shared" si="3"/>
        <v>224.1</v>
      </c>
      <c r="P20" s="240" t="e">
        <f t="shared" si="4"/>
        <v>#DIV/0!</v>
      </c>
    </row>
    <row r="21" spans="1:16" ht="35.25" customHeight="1">
      <c r="A21" s="225"/>
      <c r="B21" s="241" t="s">
        <v>300</v>
      </c>
      <c r="C21" s="242"/>
      <c r="D21" s="243"/>
      <c r="E21" s="240"/>
      <c r="F21" s="240"/>
      <c r="G21" s="244"/>
      <c r="H21" s="240"/>
      <c r="I21" s="240"/>
      <c r="J21" s="221">
        <v>98.7</v>
      </c>
      <c r="K21" s="221"/>
      <c r="L21" s="221"/>
      <c r="M21" s="240">
        <f t="shared" si="5"/>
        <v>0</v>
      </c>
      <c r="N21" s="221">
        <f t="shared" si="6"/>
        <v>98.7</v>
      </c>
      <c r="O21" s="221">
        <f t="shared" si="3"/>
        <v>98.7</v>
      </c>
      <c r="P21" s="240" t="e">
        <f t="shared" si="4"/>
        <v>#DIV/0!</v>
      </c>
    </row>
    <row r="22" spans="1:16" ht="48" customHeight="1">
      <c r="A22" s="225"/>
      <c r="B22" s="241" t="s">
        <v>301</v>
      </c>
      <c r="C22" s="242"/>
      <c r="D22" s="243"/>
      <c r="E22" s="240"/>
      <c r="F22" s="240"/>
      <c r="G22" s="244"/>
      <c r="H22" s="240"/>
      <c r="I22" s="240"/>
      <c r="J22" s="221"/>
      <c r="K22" s="221"/>
      <c r="L22" s="221">
        <v>95</v>
      </c>
      <c r="M22" s="240">
        <f t="shared" si="5"/>
        <v>0</v>
      </c>
      <c r="N22" s="221">
        <f t="shared" si="6"/>
        <v>95</v>
      </c>
      <c r="O22" s="221">
        <f t="shared" si="3"/>
        <v>95</v>
      </c>
      <c r="P22" s="240" t="e">
        <f t="shared" si="4"/>
        <v>#DIV/0!</v>
      </c>
    </row>
    <row r="23" spans="1:16" ht="48" customHeight="1">
      <c r="A23" s="225"/>
      <c r="B23" s="241" t="s">
        <v>302</v>
      </c>
      <c r="C23" s="242"/>
      <c r="D23" s="243"/>
      <c r="E23" s="240"/>
      <c r="F23" s="240"/>
      <c r="G23" s="244"/>
      <c r="H23" s="240"/>
      <c r="I23" s="240"/>
      <c r="J23" s="221">
        <v>93</v>
      </c>
      <c r="K23" s="221"/>
      <c r="L23" s="221"/>
      <c r="M23" s="240">
        <f t="shared" si="5"/>
        <v>0</v>
      </c>
      <c r="N23" s="221">
        <f t="shared" si="6"/>
        <v>93</v>
      </c>
      <c r="O23" s="221">
        <f t="shared" si="3"/>
        <v>93</v>
      </c>
      <c r="P23" s="240" t="e">
        <f t="shared" si="4"/>
        <v>#DIV/0!</v>
      </c>
    </row>
    <row r="24" spans="1:16" ht="33.75" customHeight="1">
      <c r="A24" s="225"/>
      <c r="B24" s="241" t="s">
        <v>303</v>
      </c>
      <c r="C24" s="242"/>
      <c r="D24" s="243"/>
      <c r="E24" s="240"/>
      <c r="F24" s="240"/>
      <c r="G24" s="244"/>
      <c r="H24" s="240"/>
      <c r="I24" s="240"/>
      <c r="J24" s="221"/>
      <c r="K24" s="221"/>
      <c r="L24" s="221">
        <v>53.3</v>
      </c>
      <c r="M24" s="240">
        <f t="shared" si="5"/>
        <v>0</v>
      </c>
      <c r="N24" s="221">
        <f t="shared" si="6"/>
        <v>53.3</v>
      </c>
      <c r="O24" s="221">
        <f t="shared" si="3"/>
        <v>53.3</v>
      </c>
      <c r="P24" s="240" t="e">
        <f t="shared" si="4"/>
        <v>#DIV/0!</v>
      </c>
    </row>
    <row r="25" spans="1:16" ht="37.5" customHeight="1">
      <c r="A25" s="225"/>
      <c r="B25" s="241" t="s">
        <v>304</v>
      </c>
      <c r="C25" s="242"/>
      <c r="D25" s="243"/>
      <c r="E25" s="240"/>
      <c r="F25" s="240"/>
      <c r="G25" s="244"/>
      <c r="H25" s="240"/>
      <c r="I25" s="240"/>
      <c r="J25" s="221"/>
      <c r="K25" s="221"/>
      <c r="L25" s="221">
        <v>46.5</v>
      </c>
      <c r="M25" s="240">
        <f t="shared" si="5"/>
        <v>0</v>
      </c>
      <c r="N25" s="221">
        <f t="shared" si="6"/>
        <v>46.5</v>
      </c>
      <c r="O25" s="221">
        <f t="shared" si="3"/>
        <v>46.5</v>
      </c>
      <c r="P25" s="240" t="e">
        <f t="shared" si="4"/>
        <v>#DIV/0!</v>
      </c>
    </row>
    <row r="26" spans="1:16" ht="57.75" customHeight="1">
      <c r="A26" s="225"/>
      <c r="B26" s="241" t="s">
        <v>305</v>
      </c>
      <c r="C26" s="242"/>
      <c r="D26" s="243"/>
      <c r="E26" s="240"/>
      <c r="F26" s="240"/>
      <c r="G26" s="244"/>
      <c r="H26" s="240"/>
      <c r="I26" s="240"/>
      <c r="J26" s="221"/>
      <c r="K26" s="221"/>
      <c r="L26" s="221">
        <v>567.79999999999995</v>
      </c>
      <c r="M26" s="240">
        <f t="shared" si="5"/>
        <v>0</v>
      </c>
      <c r="N26" s="221">
        <f t="shared" si="6"/>
        <v>567.79999999999995</v>
      </c>
      <c r="O26" s="221">
        <f t="shared" si="3"/>
        <v>567.79999999999995</v>
      </c>
      <c r="P26" s="240" t="e">
        <f t="shared" si="4"/>
        <v>#DIV/0!</v>
      </c>
    </row>
    <row r="27" spans="1:16" ht="38.25" customHeight="1">
      <c r="A27" s="225"/>
      <c r="B27" s="241" t="s">
        <v>484</v>
      </c>
      <c r="C27" s="242"/>
      <c r="D27" s="243"/>
      <c r="E27" s="240"/>
      <c r="F27" s="240"/>
      <c r="G27" s="244"/>
      <c r="H27" s="240"/>
      <c r="I27" s="240"/>
      <c r="J27" s="221"/>
      <c r="K27" s="221"/>
      <c r="L27" s="221">
        <v>3215</v>
      </c>
      <c r="M27" s="240">
        <f t="shared" si="5"/>
        <v>0</v>
      </c>
      <c r="N27" s="221">
        <f t="shared" si="6"/>
        <v>3215</v>
      </c>
      <c r="O27" s="221">
        <f t="shared" si="3"/>
        <v>3215</v>
      </c>
      <c r="P27" s="240" t="e">
        <f t="shared" si="4"/>
        <v>#DIV/0!</v>
      </c>
    </row>
    <row r="28" spans="1:16" ht="27.75" customHeight="1">
      <c r="A28" s="225"/>
      <c r="B28" s="241" t="s">
        <v>485</v>
      </c>
      <c r="C28" s="242"/>
      <c r="D28" s="243"/>
      <c r="E28" s="240"/>
      <c r="F28" s="240"/>
      <c r="G28" s="244"/>
      <c r="H28" s="240"/>
      <c r="I28" s="240"/>
      <c r="J28" s="221"/>
      <c r="K28" s="221"/>
      <c r="L28" s="221">
        <v>1103.5999999999999</v>
      </c>
      <c r="M28" s="240">
        <f t="shared" si="5"/>
        <v>0</v>
      </c>
      <c r="N28" s="221">
        <f t="shared" si="6"/>
        <v>1103.5999999999999</v>
      </c>
      <c r="O28" s="221">
        <f t="shared" si="3"/>
        <v>1103.5999999999999</v>
      </c>
      <c r="P28" s="240" t="e">
        <f t="shared" si="4"/>
        <v>#DIV/0!</v>
      </c>
    </row>
    <row r="29" spans="1:16" ht="48" customHeight="1">
      <c r="A29" s="225"/>
      <c r="B29" s="241" t="s">
        <v>486</v>
      </c>
      <c r="C29" s="242"/>
      <c r="D29" s="243"/>
      <c r="E29" s="240"/>
      <c r="F29" s="240"/>
      <c r="G29" s="244"/>
      <c r="H29" s="240"/>
      <c r="I29" s="240"/>
      <c r="J29" s="221"/>
      <c r="K29" s="221"/>
      <c r="L29" s="221">
        <v>245</v>
      </c>
      <c r="M29" s="240">
        <f t="shared" si="5"/>
        <v>0</v>
      </c>
      <c r="N29" s="221">
        <f t="shared" si="6"/>
        <v>245</v>
      </c>
      <c r="O29" s="221">
        <f t="shared" si="3"/>
        <v>245</v>
      </c>
      <c r="P29" s="240" t="e">
        <f t="shared" si="4"/>
        <v>#DIV/0!</v>
      </c>
    </row>
    <row r="30" spans="1:16" ht="48" customHeight="1">
      <c r="A30" s="225"/>
      <c r="B30" s="241" t="s">
        <v>487</v>
      </c>
      <c r="C30" s="242"/>
      <c r="D30" s="243"/>
      <c r="E30" s="240"/>
      <c r="F30" s="240"/>
      <c r="G30" s="244"/>
      <c r="H30" s="240"/>
      <c r="I30" s="240"/>
      <c r="J30" s="221"/>
      <c r="K30" s="221"/>
      <c r="L30" s="221">
        <v>504</v>
      </c>
      <c r="M30" s="240">
        <f t="shared" si="5"/>
        <v>0</v>
      </c>
      <c r="N30" s="221">
        <f t="shared" si="6"/>
        <v>504</v>
      </c>
      <c r="O30" s="221">
        <f t="shared" si="3"/>
        <v>504</v>
      </c>
      <c r="P30" s="240" t="e">
        <f t="shared" si="4"/>
        <v>#DIV/0!</v>
      </c>
    </row>
    <row r="31" spans="1:16" ht="30" customHeight="1">
      <c r="A31" s="225"/>
      <c r="B31" s="241" t="s">
        <v>488</v>
      </c>
      <c r="C31" s="242"/>
      <c r="D31" s="243"/>
      <c r="E31" s="240"/>
      <c r="F31" s="240"/>
      <c r="G31" s="244"/>
      <c r="H31" s="240"/>
      <c r="I31" s="240"/>
      <c r="J31" s="221"/>
      <c r="K31" s="221"/>
      <c r="L31" s="221">
        <v>480</v>
      </c>
      <c r="M31" s="240">
        <f t="shared" si="5"/>
        <v>0</v>
      </c>
      <c r="N31" s="221">
        <f t="shared" si="6"/>
        <v>480</v>
      </c>
      <c r="O31" s="221">
        <f t="shared" si="3"/>
        <v>480</v>
      </c>
      <c r="P31" s="240" t="e">
        <f t="shared" si="4"/>
        <v>#DIV/0!</v>
      </c>
    </row>
    <row r="32" spans="1:16" ht="33" customHeight="1">
      <c r="A32" s="225"/>
      <c r="B32" s="241" t="s">
        <v>489</v>
      </c>
      <c r="C32" s="242"/>
      <c r="D32" s="243"/>
      <c r="E32" s="240"/>
      <c r="F32" s="240"/>
      <c r="G32" s="244"/>
      <c r="H32" s="240"/>
      <c r="I32" s="240"/>
      <c r="J32" s="221"/>
      <c r="K32" s="221"/>
      <c r="L32" s="221">
        <v>295.5</v>
      </c>
      <c r="M32" s="240">
        <f t="shared" si="5"/>
        <v>0</v>
      </c>
      <c r="N32" s="221">
        <f t="shared" si="6"/>
        <v>295.5</v>
      </c>
      <c r="O32" s="221">
        <f t="shared" si="3"/>
        <v>295.5</v>
      </c>
      <c r="P32" s="240" t="e">
        <f t="shared" si="4"/>
        <v>#DIV/0!</v>
      </c>
    </row>
    <row r="33" spans="1:16" ht="48" customHeight="1">
      <c r="A33" s="225"/>
      <c r="B33" s="241" t="s">
        <v>490</v>
      </c>
      <c r="C33" s="242"/>
      <c r="D33" s="243"/>
      <c r="E33" s="240"/>
      <c r="F33" s="240"/>
      <c r="G33" s="244"/>
      <c r="H33" s="240"/>
      <c r="I33" s="240"/>
      <c r="J33" s="221"/>
      <c r="K33" s="221"/>
      <c r="L33" s="221">
        <v>62.4</v>
      </c>
      <c r="M33" s="240">
        <f t="shared" si="5"/>
        <v>0</v>
      </c>
      <c r="N33" s="221">
        <f t="shared" si="6"/>
        <v>62.4</v>
      </c>
      <c r="O33" s="221">
        <f t="shared" si="3"/>
        <v>62.4</v>
      </c>
      <c r="P33" s="240" t="e">
        <f t="shared" si="4"/>
        <v>#DIV/0!</v>
      </c>
    </row>
    <row r="34" spans="1:16" ht="48" customHeight="1">
      <c r="A34" s="225"/>
      <c r="B34" s="241" t="s">
        <v>491</v>
      </c>
      <c r="C34" s="242"/>
      <c r="D34" s="243"/>
      <c r="E34" s="240"/>
      <c r="F34" s="240"/>
      <c r="G34" s="244"/>
      <c r="H34" s="240"/>
      <c r="I34" s="240"/>
      <c r="J34" s="221"/>
      <c r="K34" s="221"/>
      <c r="L34" s="221">
        <v>33.700000000000003</v>
      </c>
      <c r="M34" s="240">
        <f t="shared" si="5"/>
        <v>0</v>
      </c>
      <c r="N34" s="221">
        <f t="shared" si="6"/>
        <v>33.700000000000003</v>
      </c>
      <c r="O34" s="221">
        <f t="shared" si="3"/>
        <v>33.700000000000003</v>
      </c>
      <c r="P34" s="240" t="e">
        <f t="shared" si="4"/>
        <v>#DIV/0!</v>
      </c>
    </row>
    <row r="35" spans="1:16" ht="33.75" customHeight="1">
      <c r="A35" s="225"/>
      <c r="B35" s="241" t="s">
        <v>492</v>
      </c>
      <c r="C35" s="242"/>
      <c r="D35" s="243"/>
      <c r="E35" s="240"/>
      <c r="F35" s="240"/>
      <c r="G35" s="244"/>
      <c r="H35" s="240"/>
      <c r="I35" s="240"/>
      <c r="J35" s="240"/>
      <c r="K35" s="240"/>
      <c r="L35" s="245">
        <v>67.7</v>
      </c>
      <c r="M35" s="240">
        <f t="shared" si="5"/>
        <v>0</v>
      </c>
      <c r="N35" s="221">
        <f t="shared" si="6"/>
        <v>67.7</v>
      </c>
      <c r="O35" s="221">
        <f t="shared" si="3"/>
        <v>67.7</v>
      </c>
      <c r="P35" s="240" t="e">
        <f t="shared" si="4"/>
        <v>#DIV/0!</v>
      </c>
    </row>
    <row r="36" spans="1:16" ht="28.5" customHeight="1">
      <c r="A36" s="225"/>
      <c r="B36" s="241" t="s">
        <v>318</v>
      </c>
      <c r="C36" s="242"/>
      <c r="D36" s="243"/>
      <c r="E36" s="240"/>
      <c r="F36" s="240"/>
      <c r="G36" s="244"/>
      <c r="H36" s="240"/>
      <c r="I36" s="240"/>
      <c r="J36" s="240"/>
      <c r="K36" s="240"/>
      <c r="L36" s="245">
        <v>315</v>
      </c>
      <c r="M36" s="240">
        <f t="shared" si="5"/>
        <v>0</v>
      </c>
      <c r="N36" s="221">
        <f t="shared" si="6"/>
        <v>315</v>
      </c>
      <c r="O36" s="221">
        <f t="shared" si="3"/>
        <v>315</v>
      </c>
      <c r="P36" s="240" t="e">
        <f t="shared" si="4"/>
        <v>#DIV/0!</v>
      </c>
    </row>
    <row r="37" spans="1:16" ht="28.5" customHeight="1">
      <c r="A37" s="225"/>
      <c r="B37" s="241" t="s">
        <v>319</v>
      </c>
      <c r="C37" s="242"/>
      <c r="D37" s="243"/>
      <c r="E37" s="240"/>
      <c r="F37" s="240"/>
      <c r="G37" s="244"/>
      <c r="H37" s="240"/>
      <c r="I37" s="240"/>
      <c r="J37" s="240"/>
      <c r="K37" s="240"/>
      <c r="L37" s="245">
        <v>101.6</v>
      </c>
      <c r="M37" s="240">
        <f t="shared" si="5"/>
        <v>0</v>
      </c>
      <c r="N37" s="221">
        <f t="shared" si="6"/>
        <v>101.6</v>
      </c>
      <c r="O37" s="221">
        <f t="shared" si="3"/>
        <v>101.6</v>
      </c>
      <c r="P37" s="240" t="e">
        <f t="shared" si="4"/>
        <v>#DIV/0!</v>
      </c>
    </row>
    <row r="38" spans="1:16" ht="48" customHeight="1">
      <c r="A38" s="225"/>
      <c r="B38" s="241" t="s">
        <v>320</v>
      </c>
      <c r="C38" s="242"/>
      <c r="D38" s="243"/>
      <c r="E38" s="240"/>
      <c r="F38" s="240"/>
      <c r="G38" s="244"/>
      <c r="H38" s="240"/>
      <c r="I38" s="240"/>
      <c r="J38" s="240"/>
      <c r="K38" s="240"/>
      <c r="L38" s="245">
        <v>116.3</v>
      </c>
      <c r="M38" s="240">
        <f t="shared" si="5"/>
        <v>0</v>
      </c>
      <c r="N38" s="221">
        <f t="shared" si="6"/>
        <v>116.3</v>
      </c>
      <c r="O38" s="221">
        <f t="shared" si="3"/>
        <v>116.3</v>
      </c>
      <c r="P38" s="240" t="e">
        <f t="shared" si="4"/>
        <v>#DIV/0!</v>
      </c>
    </row>
    <row r="39" spans="1:16" ht="29.25" customHeight="1">
      <c r="A39" s="225"/>
      <c r="B39" s="241" t="s">
        <v>493</v>
      </c>
      <c r="C39" s="242"/>
      <c r="D39" s="243"/>
      <c r="E39" s="240"/>
      <c r="F39" s="240"/>
      <c r="G39" s="244"/>
      <c r="H39" s="240"/>
      <c r="I39" s="240"/>
      <c r="J39" s="240"/>
      <c r="K39" s="240"/>
      <c r="L39" s="245">
        <v>202.4</v>
      </c>
      <c r="M39" s="240">
        <f t="shared" si="5"/>
        <v>0</v>
      </c>
      <c r="N39" s="221">
        <f t="shared" si="6"/>
        <v>202.4</v>
      </c>
      <c r="O39" s="221">
        <f t="shared" si="3"/>
        <v>202.4</v>
      </c>
      <c r="P39" s="240" t="e">
        <f t="shared" si="4"/>
        <v>#DIV/0!</v>
      </c>
    </row>
    <row r="40" spans="1:16" ht="33" customHeight="1">
      <c r="A40" s="225"/>
      <c r="B40" s="241" t="s">
        <v>321</v>
      </c>
      <c r="C40" s="242"/>
      <c r="D40" s="243"/>
      <c r="E40" s="240"/>
      <c r="F40" s="240"/>
      <c r="G40" s="244"/>
      <c r="H40" s="240"/>
      <c r="I40" s="240"/>
      <c r="J40" s="240"/>
      <c r="K40" s="240"/>
      <c r="L40" s="245">
        <v>190.9</v>
      </c>
      <c r="M40" s="240">
        <f t="shared" si="5"/>
        <v>0</v>
      </c>
      <c r="N40" s="221">
        <f t="shared" si="6"/>
        <v>190.9</v>
      </c>
      <c r="O40" s="221">
        <f t="shared" si="3"/>
        <v>190.9</v>
      </c>
      <c r="P40" s="240" t="e">
        <f t="shared" si="4"/>
        <v>#DIV/0!</v>
      </c>
    </row>
    <row r="41" spans="1:16" ht="35.25" customHeight="1">
      <c r="A41" s="225"/>
      <c r="B41" s="241" t="s">
        <v>322</v>
      </c>
      <c r="C41" s="242"/>
      <c r="D41" s="243"/>
      <c r="E41" s="240"/>
      <c r="F41" s="240"/>
      <c r="G41" s="244"/>
      <c r="H41" s="240"/>
      <c r="I41" s="240"/>
      <c r="J41" s="240"/>
      <c r="K41" s="240"/>
      <c r="L41" s="245">
        <v>185.3</v>
      </c>
      <c r="M41" s="240">
        <f t="shared" si="5"/>
        <v>0</v>
      </c>
      <c r="N41" s="221">
        <f t="shared" si="6"/>
        <v>185.3</v>
      </c>
      <c r="O41" s="221">
        <f t="shared" si="3"/>
        <v>185.3</v>
      </c>
      <c r="P41" s="240" t="e">
        <f t="shared" si="4"/>
        <v>#DIV/0!</v>
      </c>
    </row>
    <row r="42" spans="1:16" ht="30.75" customHeight="1">
      <c r="A42" s="225"/>
      <c r="B42" s="241" t="s">
        <v>323</v>
      </c>
      <c r="C42" s="242"/>
      <c r="D42" s="243"/>
      <c r="E42" s="240"/>
      <c r="F42" s="240"/>
      <c r="G42" s="244"/>
      <c r="H42" s="240"/>
      <c r="I42" s="240"/>
      <c r="J42" s="240"/>
      <c r="K42" s="240"/>
      <c r="L42" s="245">
        <v>175</v>
      </c>
      <c r="M42" s="240">
        <f t="shared" si="5"/>
        <v>0</v>
      </c>
      <c r="N42" s="221">
        <f t="shared" si="6"/>
        <v>175</v>
      </c>
      <c r="O42" s="221">
        <f t="shared" si="3"/>
        <v>175</v>
      </c>
      <c r="P42" s="240" t="e">
        <f t="shared" si="4"/>
        <v>#DIV/0!</v>
      </c>
    </row>
    <row r="43" spans="1:16" ht="40.5" customHeight="1">
      <c r="A43" s="225"/>
      <c r="B43" s="241" t="s">
        <v>494</v>
      </c>
      <c r="C43" s="242"/>
      <c r="D43" s="243"/>
      <c r="E43" s="240"/>
      <c r="F43" s="240"/>
      <c r="G43" s="244"/>
      <c r="H43" s="240"/>
      <c r="I43" s="240"/>
      <c r="J43" s="240"/>
      <c r="K43" s="240"/>
      <c r="L43" s="245">
        <v>142.69999999999999</v>
      </c>
      <c r="M43" s="240">
        <f t="shared" si="5"/>
        <v>0</v>
      </c>
      <c r="N43" s="221">
        <f t="shared" si="6"/>
        <v>142.69999999999999</v>
      </c>
      <c r="O43" s="221">
        <f t="shared" si="3"/>
        <v>142.69999999999999</v>
      </c>
      <c r="P43" s="240" t="e">
        <f t="shared" si="4"/>
        <v>#DIV/0!</v>
      </c>
    </row>
    <row r="44" spans="1:16" ht="36" customHeight="1">
      <c r="A44" s="225"/>
      <c r="B44" s="241" t="s">
        <v>324</v>
      </c>
      <c r="C44" s="242"/>
      <c r="D44" s="243"/>
      <c r="E44" s="245"/>
      <c r="F44" s="245"/>
      <c r="G44" s="245"/>
      <c r="H44" s="245"/>
      <c r="I44" s="245"/>
      <c r="J44" s="245"/>
      <c r="K44" s="245"/>
      <c r="L44" s="245">
        <v>40</v>
      </c>
      <c r="M44" s="240">
        <f t="shared" si="5"/>
        <v>0</v>
      </c>
      <c r="N44" s="221">
        <f t="shared" si="6"/>
        <v>40</v>
      </c>
      <c r="O44" s="221">
        <f t="shared" si="3"/>
        <v>40</v>
      </c>
      <c r="P44" s="240" t="e">
        <f t="shared" si="4"/>
        <v>#DIV/0!</v>
      </c>
    </row>
    <row r="45" spans="1:16" ht="48" customHeight="1">
      <c r="A45" s="225"/>
      <c r="B45" s="241" t="s">
        <v>325</v>
      </c>
      <c r="C45" s="242"/>
      <c r="D45" s="243"/>
      <c r="E45" s="245"/>
      <c r="F45" s="245"/>
      <c r="G45" s="245"/>
      <c r="H45" s="245">
        <v>1994</v>
      </c>
      <c r="I45" s="245"/>
      <c r="J45" s="245"/>
      <c r="K45" s="245"/>
      <c r="L45" s="245"/>
      <c r="M45" s="240">
        <f t="shared" si="5"/>
        <v>0</v>
      </c>
      <c r="N45" s="221">
        <f t="shared" si="6"/>
        <v>1994</v>
      </c>
      <c r="O45" s="221">
        <f t="shared" si="3"/>
        <v>1994</v>
      </c>
      <c r="P45" s="240" t="e">
        <f t="shared" si="4"/>
        <v>#DIV/0!</v>
      </c>
    </row>
    <row r="46" spans="1:16" ht="48" customHeight="1">
      <c r="A46" s="225"/>
      <c r="B46" s="241" t="s">
        <v>326</v>
      </c>
      <c r="C46" s="242"/>
      <c r="D46" s="243"/>
      <c r="E46" s="245"/>
      <c r="F46" s="245"/>
      <c r="G46" s="245"/>
      <c r="H46" s="245"/>
      <c r="I46" s="245"/>
      <c r="J46" s="245"/>
      <c r="K46" s="245"/>
      <c r="L46" s="245">
        <v>504</v>
      </c>
      <c r="M46" s="240">
        <f t="shared" si="5"/>
        <v>0</v>
      </c>
      <c r="N46" s="221">
        <f t="shared" si="6"/>
        <v>504</v>
      </c>
      <c r="O46" s="221">
        <f t="shared" si="3"/>
        <v>504</v>
      </c>
      <c r="P46" s="240" t="e">
        <f t="shared" si="4"/>
        <v>#DIV/0!</v>
      </c>
    </row>
    <row r="47" spans="1:16" ht="36" customHeight="1">
      <c r="A47" s="225"/>
      <c r="B47" s="241" t="s">
        <v>495</v>
      </c>
      <c r="C47" s="242"/>
      <c r="D47" s="243"/>
      <c r="E47" s="245"/>
      <c r="F47" s="245"/>
      <c r="G47" s="245"/>
      <c r="H47" s="245"/>
      <c r="I47" s="245"/>
      <c r="J47" s="245"/>
      <c r="K47" s="245"/>
      <c r="L47" s="245">
        <v>51.8</v>
      </c>
      <c r="M47" s="240">
        <f t="shared" si="5"/>
        <v>0</v>
      </c>
      <c r="N47" s="221">
        <f t="shared" si="6"/>
        <v>51.8</v>
      </c>
      <c r="O47" s="221">
        <f t="shared" si="3"/>
        <v>51.8</v>
      </c>
      <c r="P47" s="240" t="e">
        <f t="shared" si="4"/>
        <v>#DIV/0!</v>
      </c>
    </row>
    <row r="48" spans="1:16" ht="29.25" customHeight="1">
      <c r="A48" s="225"/>
      <c r="B48" s="241" t="s">
        <v>327</v>
      </c>
      <c r="C48" s="242"/>
      <c r="D48" s="243"/>
      <c r="E48" s="245"/>
      <c r="F48" s="245"/>
      <c r="G48" s="245"/>
      <c r="H48" s="245"/>
      <c r="I48" s="245"/>
      <c r="J48" s="245"/>
      <c r="K48" s="245"/>
      <c r="L48" s="245">
        <v>28.4</v>
      </c>
      <c r="M48" s="240">
        <f t="shared" si="5"/>
        <v>0</v>
      </c>
      <c r="N48" s="221">
        <f t="shared" si="6"/>
        <v>28.4</v>
      </c>
      <c r="O48" s="221">
        <f t="shared" si="3"/>
        <v>28.4</v>
      </c>
      <c r="P48" s="240" t="e">
        <f t="shared" si="4"/>
        <v>#DIV/0!</v>
      </c>
    </row>
    <row r="49" spans="1:16" ht="38.25" customHeight="1">
      <c r="A49" s="225"/>
      <c r="B49" s="241" t="s">
        <v>328</v>
      </c>
      <c r="C49" s="242"/>
      <c r="D49" s="243"/>
      <c r="E49" s="245"/>
      <c r="F49" s="245"/>
      <c r="G49" s="245"/>
      <c r="H49" s="245">
        <v>1006.7</v>
      </c>
      <c r="I49" s="245"/>
      <c r="J49" s="245"/>
      <c r="K49" s="245"/>
      <c r="L49" s="245"/>
      <c r="M49" s="240">
        <f t="shared" si="5"/>
        <v>0</v>
      </c>
      <c r="N49" s="221">
        <f t="shared" si="6"/>
        <v>1006.7</v>
      </c>
      <c r="O49" s="221">
        <f t="shared" si="3"/>
        <v>1006.7</v>
      </c>
      <c r="P49" s="240" t="e">
        <f t="shared" si="4"/>
        <v>#DIV/0!</v>
      </c>
    </row>
    <row r="50" spans="1:16" ht="35.25" customHeight="1">
      <c r="A50" s="225"/>
      <c r="B50" s="241" t="s">
        <v>496</v>
      </c>
      <c r="C50" s="242"/>
      <c r="D50" s="243"/>
      <c r="E50" s="245"/>
      <c r="F50" s="245"/>
      <c r="G50" s="245"/>
      <c r="H50" s="245"/>
      <c r="I50" s="245"/>
      <c r="J50" s="245"/>
      <c r="K50" s="245"/>
      <c r="L50" s="245">
        <v>2296.1</v>
      </c>
      <c r="M50" s="240">
        <f t="shared" si="5"/>
        <v>0</v>
      </c>
      <c r="N50" s="221">
        <f t="shared" si="6"/>
        <v>2296.1</v>
      </c>
      <c r="O50" s="221">
        <f t="shared" si="3"/>
        <v>2296.1</v>
      </c>
      <c r="P50" s="240" t="e">
        <f t="shared" si="4"/>
        <v>#DIV/0!</v>
      </c>
    </row>
    <row r="51" spans="1:16" ht="48" customHeight="1">
      <c r="A51" s="225"/>
      <c r="B51" s="241" t="s">
        <v>330</v>
      </c>
      <c r="C51" s="242"/>
      <c r="D51" s="243"/>
      <c r="E51" s="245"/>
      <c r="F51" s="245"/>
      <c r="G51" s="245"/>
      <c r="H51" s="245"/>
      <c r="I51" s="245"/>
      <c r="J51" s="245"/>
      <c r="K51" s="245"/>
      <c r="L51" s="245">
        <v>76.3</v>
      </c>
      <c r="M51" s="240">
        <f t="shared" si="5"/>
        <v>0</v>
      </c>
      <c r="N51" s="221">
        <f t="shared" si="6"/>
        <v>76.3</v>
      </c>
      <c r="O51" s="221">
        <f t="shared" si="3"/>
        <v>76.3</v>
      </c>
      <c r="P51" s="240" t="e">
        <f t="shared" si="4"/>
        <v>#DIV/0!</v>
      </c>
    </row>
    <row r="52" spans="1:16" ht="50.25" customHeight="1">
      <c r="A52" s="225"/>
      <c r="B52" s="241" t="s">
        <v>497</v>
      </c>
      <c r="C52" s="242"/>
      <c r="D52" s="243"/>
      <c r="E52" s="245"/>
      <c r="F52" s="245"/>
      <c r="G52" s="245"/>
      <c r="H52" s="245"/>
      <c r="I52" s="245"/>
      <c r="J52" s="245"/>
      <c r="K52" s="245"/>
      <c r="L52" s="245">
        <v>53.6</v>
      </c>
      <c r="M52" s="240">
        <f t="shared" si="5"/>
        <v>0</v>
      </c>
      <c r="N52" s="221">
        <f t="shared" si="6"/>
        <v>53.6</v>
      </c>
      <c r="O52" s="221">
        <f t="shared" si="3"/>
        <v>53.6</v>
      </c>
      <c r="P52" s="240" t="e">
        <f t="shared" si="4"/>
        <v>#DIV/0!</v>
      </c>
    </row>
    <row r="53" spans="1:16" ht="38.25" customHeight="1">
      <c r="A53" s="225"/>
      <c r="B53" s="241" t="s">
        <v>498</v>
      </c>
      <c r="C53" s="242"/>
      <c r="D53" s="243"/>
      <c r="E53" s="245"/>
      <c r="F53" s="245"/>
      <c r="G53" s="245"/>
      <c r="H53" s="245"/>
      <c r="I53" s="245"/>
      <c r="J53" s="245"/>
      <c r="K53" s="245"/>
      <c r="L53" s="245">
        <v>78</v>
      </c>
      <c r="M53" s="240">
        <f t="shared" si="5"/>
        <v>0</v>
      </c>
      <c r="N53" s="221">
        <f t="shared" si="6"/>
        <v>78</v>
      </c>
      <c r="O53" s="221">
        <f t="shared" si="3"/>
        <v>78</v>
      </c>
      <c r="P53" s="240" t="e">
        <f t="shared" si="4"/>
        <v>#DIV/0!</v>
      </c>
    </row>
    <row r="54" spans="1:16" ht="38.25" customHeight="1">
      <c r="A54" s="225"/>
      <c r="B54" s="241" t="s">
        <v>499</v>
      </c>
      <c r="C54" s="242"/>
      <c r="D54" s="243"/>
      <c r="E54" s="245"/>
      <c r="F54" s="245"/>
      <c r="G54" s="245"/>
      <c r="H54" s="245"/>
      <c r="I54" s="245"/>
      <c r="J54" s="245"/>
      <c r="K54" s="245"/>
      <c r="L54" s="245">
        <v>28.1</v>
      </c>
      <c r="M54" s="240">
        <f t="shared" si="5"/>
        <v>0</v>
      </c>
      <c r="N54" s="221">
        <f t="shared" si="6"/>
        <v>28.1</v>
      </c>
      <c r="O54" s="221">
        <f t="shared" si="3"/>
        <v>28.1</v>
      </c>
      <c r="P54" s="240" t="e">
        <f t="shared" si="4"/>
        <v>#DIV/0!</v>
      </c>
    </row>
    <row r="55" spans="1:16" ht="35.25" customHeight="1">
      <c r="A55" s="225"/>
      <c r="B55" s="241" t="s">
        <v>500</v>
      </c>
      <c r="C55" s="242"/>
      <c r="D55" s="243"/>
      <c r="E55" s="245"/>
      <c r="F55" s="245"/>
      <c r="G55" s="245"/>
      <c r="H55" s="245"/>
      <c r="I55" s="245"/>
      <c r="J55" s="245"/>
      <c r="K55" s="245"/>
      <c r="L55" s="245">
        <v>56.3</v>
      </c>
      <c r="M55" s="240">
        <f t="shared" si="5"/>
        <v>0</v>
      </c>
      <c r="N55" s="221">
        <f t="shared" si="6"/>
        <v>56.3</v>
      </c>
      <c r="O55" s="221">
        <f t="shared" si="3"/>
        <v>56.3</v>
      </c>
      <c r="P55" s="240" t="e">
        <f t="shared" si="4"/>
        <v>#DIV/0!</v>
      </c>
    </row>
    <row r="56" spans="1:16" ht="36" customHeight="1">
      <c r="A56" s="225"/>
      <c r="B56" s="241" t="s">
        <v>501</v>
      </c>
      <c r="C56" s="242"/>
      <c r="D56" s="243"/>
      <c r="E56" s="245"/>
      <c r="F56" s="245"/>
      <c r="G56" s="245"/>
      <c r="H56" s="245"/>
      <c r="I56" s="245"/>
      <c r="J56" s="245"/>
      <c r="K56" s="245"/>
      <c r="L56" s="245">
        <v>42.1</v>
      </c>
      <c r="M56" s="240">
        <f t="shared" si="5"/>
        <v>0</v>
      </c>
      <c r="N56" s="221">
        <f t="shared" si="6"/>
        <v>42.1</v>
      </c>
      <c r="O56" s="221">
        <f t="shared" si="3"/>
        <v>42.1</v>
      </c>
      <c r="P56" s="240" t="e">
        <f t="shared" si="4"/>
        <v>#DIV/0!</v>
      </c>
    </row>
    <row r="57" spans="1:16" ht="35.25" customHeight="1">
      <c r="A57" s="225"/>
      <c r="B57" s="241" t="s">
        <v>502</v>
      </c>
      <c r="C57" s="242"/>
      <c r="D57" s="243"/>
      <c r="E57" s="245"/>
      <c r="F57" s="245"/>
      <c r="G57" s="245"/>
      <c r="H57" s="245"/>
      <c r="I57" s="245"/>
      <c r="J57" s="245"/>
      <c r="K57" s="245"/>
      <c r="L57" s="245">
        <v>25.3</v>
      </c>
      <c r="M57" s="240">
        <f t="shared" si="5"/>
        <v>0</v>
      </c>
      <c r="N57" s="221">
        <f t="shared" si="6"/>
        <v>25.3</v>
      </c>
      <c r="O57" s="221">
        <f t="shared" si="3"/>
        <v>25.3</v>
      </c>
      <c r="P57" s="240" t="e">
        <f t="shared" si="4"/>
        <v>#DIV/0!</v>
      </c>
    </row>
    <row r="58" spans="1:16" ht="38.25" customHeight="1">
      <c r="A58" s="225"/>
      <c r="B58" s="241" t="s">
        <v>503</v>
      </c>
      <c r="C58" s="242"/>
      <c r="D58" s="243"/>
      <c r="E58" s="245"/>
      <c r="F58" s="245"/>
      <c r="G58" s="245"/>
      <c r="H58" s="245"/>
      <c r="I58" s="245"/>
      <c r="J58" s="245"/>
      <c r="K58" s="245"/>
      <c r="L58" s="245">
        <v>142.19999999999999</v>
      </c>
      <c r="M58" s="240">
        <f t="shared" si="5"/>
        <v>0</v>
      </c>
      <c r="N58" s="221">
        <f t="shared" si="6"/>
        <v>142.19999999999999</v>
      </c>
      <c r="O58" s="221">
        <f t="shared" si="3"/>
        <v>142.19999999999999</v>
      </c>
      <c r="P58" s="240" t="e">
        <f t="shared" si="4"/>
        <v>#DIV/0!</v>
      </c>
    </row>
    <row r="59" spans="1:16" ht="29.25" customHeight="1">
      <c r="A59" s="225"/>
      <c r="B59" s="241" t="s">
        <v>504</v>
      </c>
      <c r="C59" s="242"/>
      <c r="D59" s="243"/>
      <c r="E59" s="245"/>
      <c r="F59" s="245"/>
      <c r="G59" s="245"/>
      <c r="H59" s="245"/>
      <c r="I59" s="245"/>
      <c r="J59" s="245"/>
      <c r="K59" s="245"/>
      <c r="L59" s="245">
        <v>23</v>
      </c>
      <c r="M59" s="240">
        <f t="shared" si="5"/>
        <v>0</v>
      </c>
      <c r="N59" s="221">
        <f t="shared" si="6"/>
        <v>23</v>
      </c>
      <c r="O59" s="221">
        <f t="shared" si="3"/>
        <v>23</v>
      </c>
      <c r="P59" s="240" t="e">
        <f t="shared" si="4"/>
        <v>#DIV/0!</v>
      </c>
    </row>
    <row r="60" spans="1:16" ht="50.25" customHeight="1">
      <c r="A60" s="225"/>
      <c r="B60" s="241" t="s">
        <v>505</v>
      </c>
      <c r="C60" s="242"/>
      <c r="D60" s="243"/>
      <c r="E60" s="245"/>
      <c r="F60" s="245"/>
      <c r="G60" s="245"/>
      <c r="H60" s="245"/>
      <c r="I60" s="245"/>
      <c r="J60" s="245"/>
      <c r="K60" s="245"/>
      <c r="L60" s="221">
        <v>76.7</v>
      </c>
      <c r="M60" s="240">
        <f t="shared" si="5"/>
        <v>0</v>
      </c>
      <c r="N60" s="221">
        <f t="shared" si="6"/>
        <v>76.7</v>
      </c>
      <c r="O60" s="221">
        <f t="shared" si="3"/>
        <v>76.7</v>
      </c>
      <c r="P60" s="240" t="e">
        <f t="shared" si="4"/>
        <v>#DIV/0!</v>
      </c>
    </row>
    <row r="61" spans="1:16" ht="53.25" customHeight="1">
      <c r="A61" s="225"/>
      <c r="B61" s="241" t="s">
        <v>506</v>
      </c>
      <c r="C61" s="242"/>
      <c r="D61" s="243"/>
      <c r="E61" s="245"/>
      <c r="F61" s="245"/>
      <c r="G61" s="245"/>
      <c r="H61" s="245"/>
      <c r="I61" s="245"/>
      <c r="J61" s="245"/>
      <c r="K61" s="245"/>
      <c r="L61" s="221">
        <v>380.3</v>
      </c>
      <c r="M61" s="240">
        <f t="shared" si="5"/>
        <v>0</v>
      </c>
      <c r="N61" s="221">
        <f t="shared" si="6"/>
        <v>380.3</v>
      </c>
      <c r="O61" s="221">
        <f t="shared" si="3"/>
        <v>380.3</v>
      </c>
      <c r="P61" s="240" t="e">
        <f t="shared" si="4"/>
        <v>#DIV/0!</v>
      </c>
    </row>
    <row r="62" spans="1:16" ht="33.75" customHeight="1">
      <c r="A62" s="225"/>
      <c r="B62" s="241" t="s">
        <v>507</v>
      </c>
      <c r="C62" s="242"/>
      <c r="D62" s="243"/>
      <c r="E62" s="245"/>
      <c r="F62" s="245"/>
      <c r="G62" s="245"/>
      <c r="H62" s="245"/>
      <c r="I62" s="245"/>
      <c r="J62" s="245"/>
      <c r="K62" s="245"/>
      <c r="L62" s="221">
        <v>104</v>
      </c>
      <c r="M62" s="240">
        <f t="shared" si="5"/>
        <v>0</v>
      </c>
      <c r="N62" s="221">
        <f t="shared" si="6"/>
        <v>104</v>
      </c>
      <c r="O62" s="221">
        <f t="shared" si="3"/>
        <v>104</v>
      </c>
      <c r="P62" s="240" t="e">
        <f t="shared" si="4"/>
        <v>#DIV/0!</v>
      </c>
    </row>
    <row r="63" spans="1:16" ht="33" customHeight="1">
      <c r="A63" s="225"/>
      <c r="B63" s="241" t="s">
        <v>508</v>
      </c>
      <c r="C63" s="242"/>
      <c r="D63" s="243"/>
      <c r="E63" s="245"/>
      <c r="F63" s="245"/>
      <c r="G63" s="245"/>
      <c r="H63" s="245"/>
      <c r="I63" s="245"/>
      <c r="J63" s="245"/>
      <c r="K63" s="245"/>
      <c r="L63" s="221">
        <v>67.2</v>
      </c>
      <c r="M63" s="240">
        <f t="shared" si="5"/>
        <v>0</v>
      </c>
      <c r="N63" s="221">
        <f t="shared" si="6"/>
        <v>67.2</v>
      </c>
      <c r="O63" s="221">
        <f t="shared" si="3"/>
        <v>67.2</v>
      </c>
      <c r="P63" s="240" t="e">
        <f t="shared" si="4"/>
        <v>#DIV/0!</v>
      </c>
    </row>
    <row r="64" spans="1:16" ht="56.25" customHeight="1">
      <c r="A64" s="225"/>
      <c r="B64" s="241" t="s">
        <v>509</v>
      </c>
      <c r="C64" s="242"/>
      <c r="D64" s="243"/>
      <c r="E64" s="245"/>
      <c r="F64" s="245"/>
      <c r="G64" s="245"/>
      <c r="H64" s="245"/>
      <c r="I64" s="245"/>
      <c r="J64" s="245"/>
      <c r="K64" s="245"/>
      <c r="L64" s="221">
        <v>24</v>
      </c>
      <c r="M64" s="240">
        <f t="shared" si="5"/>
        <v>0</v>
      </c>
      <c r="N64" s="221">
        <f t="shared" si="6"/>
        <v>24</v>
      </c>
      <c r="O64" s="221">
        <f t="shared" si="3"/>
        <v>24</v>
      </c>
      <c r="P64" s="240" t="e">
        <f t="shared" si="4"/>
        <v>#DIV/0!</v>
      </c>
    </row>
    <row r="65" spans="1:17" ht="53.25" customHeight="1">
      <c r="A65" s="225"/>
      <c r="B65" s="241" t="s">
        <v>510</v>
      </c>
      <c r="C65" s="242"/>
      <c r="D65" s="243"/>
      <c r="E65" s="245"/>
      <c r="F65" s="245"/>
      <c r="G65" s="245"/>
      <c r="H65" s="245"/>
      <c r="I65" s="245"/>
      <c r="J65" s="245"/>
      <c r="K65" s="245"/>
      <c r="L65" s="221">
        <v>42</v>
      </c>
      <c r="M65" s="240">
        <f t="shared" si="5"/>
        <v>0</v>
      </c>
      <c r="N65" s="221">
        <f t="shared" si="6"/>
        <v>42</v>
      </c>
      <c r="O65" s="221">
        <f t="shared" si="3"/>
        <v>42</v>
      </c>
      <c r="P65" s="240" t="e">
        <f t="shared" si="4"/>
        <v>#DIV/0!</v>
      </c>
    </row>
    <row r="66" spans="1:17" ht="31.5" customHeight="1">
      <c r="A66" s="225"/>
      <c r="B66" s="241" t="s">
        <v>511</v>
      </c>
      <c r="C66" s="242"/>
      <c r="D66" s="243"/>
      <c r="E66" s="245"/>
      <c r="F66" s="245"/>
      <c r="G66" s="245"/>
      <c r="H66" s="245"/>
      <c r="I66" s="245"/>
      <c r="J66" s="245"/>
      <c r="K66" s="245"/>
      <c r="L66" s="221">
        <v>38.5</v>
      </c>
      <c r="M66" s="240">
        <f t="shared" si="5"/>
        <v>0</v>
      </c>
      <c r="N66" s="221">
        <f t="shared" si="6"/>
        <v>38.5</v>
      </c>
      <c r="O66" s="221">
        <f t="shared" si="3"/>
        <v>38.5</v>
      </c>
      <c r="P66" s="240" t="e">
        <f t="shared" si="4"/>
        <v>#DIV/0!</v>
      </c>
    </row>
    <row r="67" spans="1:17" ht="37.5" customHeight="1">
      <c r="A67" s="225"/>
      <c r="B67" s="241" t="s">
        <v>512</v>
      </c>
      <c r="C67" s="242"/>
      <c r="D67" s="243"/>
      <c r="E67" s="245"/>
      <c r="F67" s="245"/>
      <c r="G67" s="245"/>
      <c r="H67" s="245"/>
      <c r="I67" s="245"/>
      <c r="J67" s="245"/>
      <c r="K67" s="245"/>
      <c r="L67" s="221">
        <v>37.4</v>
      </c>
      <c r="M67" s="240">
        <f t="shared" si="5"/>
        <v>0</v>
      </c>
      <c r="N67" s="221">
        <f t="shared" si="6"/>
        <v>37.4</v>
      </c>
      <c r="O67" s="221">
        <f t="shared" si="3"/>
        <v>37.4</v>
      </c>
      <c r="P67" s="240" t="e">
        <f t="shared" si="4"/>
        <v>#DIV/0!</v>
      </c>
    </row>
    <row r="68" spans="1:17" ht="32.25" customHeight="1">
      <c r="A68" s="225"/>
      <c r="B68" s="241" t="s">
        <v>513</v>
      </c>
      <c r="C68" s="242"/>
      <c r="D68" s="243"/>
      <c r="E68" s="245"/>
      <c r="F68" s="245"/>
      <c r="G68" s="245"/>
      <c r="H68" s="245">
        <v>3937.3960000000002</v>
      </c>
      <c r="I68" s="245"/>
      <c r="J68" s="245"/>
      <c r="K68" s="245"/>
      <c r="L68" s="221"/>
      <c r="M68" s="240">
        <f t="shared" si="5"/>
        <v>0</v>
      </c>
      <c r="N68" s="221">
        <f t="shared" si="6"/>
        <v>3937.3960000000002</v>
      </c>
      <c r="O68" s="221">
        <f t="shared" si="3"/>
        <v>3937.3960000000002</v>
      </c>
      <c r="P68" s="240" t="e">
        <f t="shared" si="4"/>
        <v>#DIV/0!</v>
      </c>
    </row>
    <row r="69" spans="1:17" ht="72" customHeight="1">
      <c r="A69" s="225" t="s">
        <v>104</v>
      </c>
      <c r="B69" s="238" t="s">
        <v>96</v>
      </c>
      <c r="C69" s="239"/>
      <c r="D69" s="239"/>
      <c r="E69" s="240">
        <f t="shared" ref="E69:I69" si="7">SUM(E70:E212)</f>
        <v>0</v>
      </c>
      <c r="F69" s="240">
        <f t="shared" si="7"/>
        <v>0</v>
      </c>
      <c r="G69" s="240">
        <f t="shared" si="7"/>
        <v>0</v>
      </c>
      <c r="H69" s="240">
        <f t="shared" si="7"/>
        <v>0</v>
      </c>
      <c r="I69" s="240">
        <f t="shared" si="7"/>
        <v>0</v>
      </c>
      <c r="J69" s="240">
        <f>SUM(J70:J212)</f>
        <v>361.39999999999992</v>
      </c>
      <c r="K69" s="240">
        <f t="shared" ref="K69" si="8">SUM(K70:K212)</f>
        <v>0</v>
      </c>
      <c r="L69" s="240">
        <f t="shared" ref="L69" si="9">SUM(L70:L212)</f>
        <v>932.8000000000003</v>
      </c>
      <c r="M69" s="240">
        <f t="shared" si="5"/>
        <v>0</v>
      </c>
      <c r="N69" s="240">
        <f t="shared" si="6"/>
        <v>1294.2000000000003</v>
      </c>
      <c r="O69" s="240">
        <f t="shared" si="3"/>
        <v>1294.2000000000003</v>
      </c>
      <c r="P69" s="240" t="e">
        <f t="shared" si="4"/>
        <v>#DIV/0!</v>
      </c>
      <c r="Q69" s="246"/>
    </row>
    <row r="70" spans="1:17" ht="29.25" customHeight="1">
      <c r="A70" s="225"/>
      <c r="B70" s="241" t="s">
        <v>297</v>
      </c>
      <c r="C70" s="242"/>
      <c r="D70" s="243"/>
      <c r="E70" s="221"/>
      <c r="F70" s="221"/>
      <c r="G70" s="221"/>
      <c r="H70" s="221"/>
      <c r="I70" s="221"/>
      <c r="J70" s="221"/>
      <c r="K70" s="221"/>
      <c r="L70" s="221">
        <v>8.3000000000000007</v>
      </c>
      <c r="M70" s="221">
        <f t="shared" si="5"/>
        <v>0</v>
      </c>
      <c r="N70" s="221">
        <f t="shared" si="6"/>
        <v>8.3000000000000007</v>
      </c>
      <c r="O70" s="221">
        <f t="shared" si="3"/>
        <v>8.3000000000000007</v>
      </c>
      <c r="P70" s="240" t="e">
        <f t="shared" si="4"/>
        <v>#DIV/0!</v>
      </c>
    </row>
    <row r="71" spans="1:17" ht="28.5" customHeight="1">
      <c r="A71" s="225"/>
      <c r="B71" s="241" t="s">
        <v>290</v>
      </c>
      <c r="C71" s="242"/>
      <c r="D71" s="243"/>
      <c r="E71" s="221"/>
      <c r="F71" s="221"/>
      <c r="G71" s="221"/>
      <c r="H71" s="221"/>
      <c r="I71" s="221"/>
      <c r="J71" s="221"/>
      <c r="K71" s="221"/>
      <c r="L71" s="221">
        <v>12.5</v>
      </c>
      <c r="M71" s="221">
        <f t="shared" si="5"/>
        <v>0</v>
      </c>
      <c r="N71" s="221">
        <f t="shared" si="6"/>
        <v>12.5</v>
      </c>
      <c r="O71" s="221">
        <f t="shared" si="3"/>
        <v>12.5</v>
      </c>
      <c r="P71" s="240" t="e">
        <f t="shared" si="4"/>
        <v>#DIV/0!</v>
      </c>
    </row>
    <row r="72" spans="1:17" ht="31.5" customHeight="1">
      <c r="A72" s="225"/>
      <c r="B72" s="247" t="s">
        <v>282</v>
      </c>
      <c r="C72" s="248"/>
      <c r="D72" s="249"/>
      <c r="E72" s="221"/>
      <c r="F72" s="221"/>
      <c r="G72" s="221"/>
      <c r="H72" s="221"/>
      <c r="I72" s="221"/>
      <c r="J72" s="221"/>
      <c r="K72" s="221"/>
      <c r="L72" s="221">
        <v>59.9</v>
      </c>
      <c r="M72" s="221">
        <f t="shared" si="5"/>
        <v>0</v>
      </c>
      <c r="N72" s="221">
        <f t="shared" si="6"/>
        <v>59.9</v>
      </c>
      <c r="O72" s="221">
        <f t="shared" si="3"/>
        <v>59.9</v>
      </c>
      <c r="P72" s="240" t="e">
        <f t="shared" si="4"/>
        <v>#DIV/0!</v>
      </c>
    </row>
    <row r="73" spans="1:17" ht="51.75" customHeight="1">
      <c r="A73" s="225"/>
      <c r="B73" s="241" t="s">
        <v>283</v>
      </c>
      <c r="C73" s="242"/>
      <c r="D73" s="243"/>
      <c r="E73" s="221"/>
      <c r="F73" s="221"/>
      <c r="G73" s="221"/>
      <c r="H73" s="221"/>
      <c r="I73" s="221"/>
      <c r="J73" s="221">
        <v>29.4</v>
      </c>
      <c r="K73" s="221"/>
      <c r="L73" s="221"/>
      <c r="M73" s="221">
        <f t="shared" si="5"/>
        <v>0</v>
      </c>
      <c r="N73" s="221">
        <f t="shared" si="6"/>
        <v>29.4</v>
      </c>
      <c r="O73" s="221">
        <f t="shared" si="3"/>
        <v>29.4</v>
      </c>
      <c r="P73" s="240" t="e">
        <f t="shared" si="4"/>
        <v>#DIV/0!</v>
      </c>
    </row>
    <row r="74" spans="1:17" ht="48" customHeight="1">
      <c r="A74" s="225"/>
      <c r="B74" s="241" t="s">
        <v>284</v>
      </c>
      <c r="C74" s="242"/>
      <c r="D74" s="243"/>
      <c r="E74" s="221"/>
      <c r="F74" s="221"/>
      <c r="G74" s="221"/>
      <c r="H74" s="221"/>
      <c r="I74" s="221"/>
      <c r="J74" s="221">
        <v>4.9000000000000004</v>
      </c>
      <c r="K74" s="221"/>
      <c r="L74" s="221"/>
      <c r="M74" s="221">
        <f t="shared" si="5"/>
        <v>0</v>
      </c>
      <c r="N74" s="221">
        <f t="shared" si="6"/>
        <v>4.9000000000000004</v>
      </c>
      <c r="O74" s="221">
        <f t="shared" ref="O74:O137" si="10">N74-M74</f>
        <v>4.9000000000000004</v>
      </c>
      <c r="P74" s="240" t="e">
        <f t="shared" ref="P74:P137" si="11">(N74/M74)*100</f>
        <v>#DIV/0!</v>
      </c>
    </row>
    <row r="75" spans="1:17" ht="28.5" customHeight="1">
      <c r="A75" s="225"/>
      <c r="B75" s="241" t="s">
        <v>285</v>
      </c>
      <c r="C75" s="242"/>
      <c r="D75" s="243"/>
      <c r="E75" s="221"/>
      <c r="F75" s="221"/>
      <c r="G75" s="221"/>
      <c r="H75" s="221"/>
      <c r="I75" s="221"/>
      <c r="J75" s="221">
        <v>20.9</v>
      </c>
      <c r="K75" s="221"/>
      <c r="L75" s="221"/>
      <c r="M75" s="221">
        <f t="shared" ref="M75:M138" si="12">E75+G75+I75+K75</f>
        <v>0</v>
      </c>
      <c r="N75" s="221">
        <f t="shared" ref="N75:N138" si="13">F75+H75+J75+L75</f>
        <v>20.9</v>
      </c>
      <c r="O75" s="221">
        <f t="shared" si="10"/>
        <v>20.9</v>
      </c>
      <c r="P75" s="240" t="e">
        <f t="shared" si="11"/>
        <v>#DIV/0!</v>
      </c>
    </row>
    <row r="76" spans="1:17" ht="31.5" customHeight="1">
      <c r="A76" s="225"/>
      <c r="B76" s="250" t="s">
        <v>286</v>
      </c>
      <c r="C76" s="251"/>
      <c r="D76" s="252"/>
      <c r="E76" s="221"/>
      <c r="F76" s="221"/>
      <c r="G76" s="221"/>
      <c r="H76" s="221"/>
      <c r="I76" s="221"/>
      <c r="J76" s="221"/>
      <c r="K76" s="221"/>
      <c r="L76" s="221">
        <v>0.2</v>
      </c>
      <c r="M76" s="221">
        <f t="shared" si="12"/>
        <v>0</v>
      </c>
      <c r="N76" s="221">
        <f t="shared" si="13"/>
        <v>0.2</v>
      </c>
      <c r="O76" s="221">
        <f t="shared" si="10"/>
        <v>0.2</v>
      </c>
      <c r="P76" s="240" t="e">
        <f t="shared" si="11"/>
        <v>#DIV/0!</v>
      </c>
    </row>
    <row r="77" spans="1:17" ht="32.25" customHeight="1">
      <c r="A77" s="225"/>
      <c r="B77" s="253" t="s">
        <v>293</v>
      </c>
      <c r="C77" s="254"/>
      <c r="D77" s="255"/>
      <c r="E77" s="221"/>
      <c r="F77" s="221"/>
      <c r="G77" s="221"/>
      <c r="H77" s="221"/>
      <c r="I77" s="221"/>
      <c r="J77" s="221"/>
      <c r="K77" s="221"/>
      <c r="L77" s="221">
        <v>13.9</v>
      </c>
      <c r="M77" s="221">
        <f t="shared" si="12"/>
        <v>0</v>
      </c>
      <c r="N77" s="221">
        <f t="shared" si="13"/>
        <v>13.9</v>
      </c>
      <c r="O77" s="221">
        <f t="shared" si="10"/>
        <v>13.9</v>
      </c>
      <c r="P77" s="240" t="e">
        <f t="shared" si="11"/>
        <v>#DIV/0!</v>
      </c>
    </row>
    <row r="78" spans="1:17" ht="26.25" customHeight="1">
      <c r="A78" s="225"/>
      <c r="B78" s="241" t="s">
        <v>331</v>
      </c>
      <c r="C78" s="242"/>
      <c r="D78" s="243"/>
      <c r="E78" s="221"/>
      <c r="F78" s="221"/>
      <c r="G78" s="221"/>
      <c r="H78" s="221"/>
      <c r="I78" s="221"/>
      <c r="J78" s="221">
        <v>1.5</v>
      </c>
      <c r="K78" s="221"/>
      <c r="L78" s="221"/>
      <c r="M78" s="221">
        <f t="shared" si="12"/>
        <v>0</v>
      </c>
      <c r="N78" s="221">
        <f t="shared" si="13"/>
        <v>1.5</v>
      </c>
      <c r="O78" s="221">
        <f t="shared" si="10"/>
        <v>1.5</v>
      </c>
      <c r="P78" s="240" t="e">
        <f t="shared" si="11"/>
        <v>#DIV/0!</v>
      </c>
    </row>
    <row r="79" spans="1:17" ht="30.75" customHeight="1">
      <c r="A79" s="225"/>
      <c r="B79" s="247" t="s">
        <v>333</v>
      </c>
      <c r="C79" s="248"/>
      <c r="D79" s="249"/>
      <c r="E79" s="221"/>
      <c r="F79" s="221"/>
      <c r="G79" s="221"/>
      <c r="H79" s="221"/>
      <c r="I79" s="221"/>
      <c r="J79" s="221"/>
      <c r="K79" s="221"/>
      <c r="L79" s="221">
        <v>18.899999999999999</v>
      </c>
      <c r="M79" s="221">
        <f t="shared" si="12"/>
        <v>0</v>
      </c>
      <c r="N79" s="221">
        <f t="shared" si="13"/>
        <v>18.899999999999999</v>
      </c>
      <c r="O79" s="221">
        <f t="shared" si="10"/>
        <v>18.899999999999999</v>
      </c>
      <c r="P79" s="240" t="e">
        <f t="shared" si="11"/>
        <v>#DIV/0!</v>
      </c>
    </row>
    <row r="80" spans="1:17" ht="30.75" customHeight="1">
      <c r="A80" s="225"/>
      <c r="B80" s="247" t="s">
        <v>334</v>
      </c>
      <c r="C80" s="248"/>
      <c r="D80" s="249"/>
      <c r="E80" s="221"/>
      <c r="F80" s="221"/>
      <c r="G80" s="221"/>
      <c r="H80" s="221"/>
      <c r="I80" s="221"/>
      <c r="J80" s="221"/>
      <c r="K80" s="221"/>
      <c r="L80" s="221">
        <v>4.2</v>
      </c>
      <c r="M80" s="221">
        <f t="shared" si="12"/>
        <v>0</v>
      </c>
      <c r="N80" s="221">
        <f t="shared" si="13"/>
        <v>4.2</v>
      </c>
      <c r="O80" s="221">
        <f t="shared" si="10"/>
        <v>4.2</v>
      </c>
      <c r="P80" s="240" t="e">
        <f t="shared" si="11"/>
        <v>#DIV/0!</v>
      </c>
    </row>
    <row r="81" spans="1:16" ht="28.5" customHeight="1">
      <c r="A81" s="225"/>
      <c r="B81" s="247" t="s">
        <v>357</v>
      </c>
      <c r="C81" s="248"/>
      <c r="D81" s="249"/>
      <c r="E81" s="221"/>
      <c r="F81" s="221"/>
      <c r="G81" s="221"/>
      <c r="H81" s="221"/>
      <c r="I81" s="221"/>
      <c r="J81" s="221"/>
      <c r="K81" s="221"/>
      <c r="L81" s="221">
        <v>2.2000000000000002</v>
      </c>
      <c r="M81" s="221">
        <f t="shared" si="12"/>
        <v>0</v>
      </c>
      <c r="N81" s="221">
        <f t="shared" si="13"/>
        <v>2.2000000000000002</v>
      </c>
      <c r="O81" s="221">
        <f t="shared" si="10"/>
        <v>2.2000000000000002</v>
      </c>
      <c r="P81" s="240" t="e">
        <f t="shared" si="11"/>
        <v>#DIV/0!</v>
      </c>
    </row>
    <row r="82" spans="1:16" ht="33" customHeight="1">
      <c r="A82" s="225"/>
      <c r="B82" s="247" t="s">
        <v>358</v>
      </c>
      <c r="C82" s="248"/>
      <c r="D82" s="249"/>
      <c r="E82" s="221"/>
      <c r="F82" s="221"/>
      <c r="G82" s="221"/>
      <c r="H82" s="221"/>
      <c r="I82" s="221"/>
      <c r="J82" s="221"/>
      <c r="K82" s="221"/>
      <c r="L82" s="221">
        <v>30</v>
      </c>
      <c r="M82" s="221">
        <f t="shared" si="12"/>
        <v>0</v>
      </c>
      <c r="N82" s="221">
        <f t="shared" si="13"/>
        <v>30</v>
      </c>
      <c r="O82" s="221">
        <f t="shared" si="10"/>
        <v>30</v>
      </c>
      <c r="P82" s="240" t="e">
        <f t="shared" si="11"/>
        <v>#DIV/0!</v>
      </c>
    </row>
    <row r="83" spans="1:16" ht="29.25" customHeight="1">
      <c r="A83" s="225"/>
      <c r="B83" s="247" t="s">
        <v>359</v>
      </c>
      <c r="C83" s="248"/>
      <c r="D83" s="249"/>
      <c r="E83" s="221"/>
      <c r="F83" s="221"/>
      <c r="G83" s="221"/>
      <c r="H83" s="221"/>
      <c r="I83" s="221"/>
      <c r="J83" s="221"/>
      <c r="K83" s="221"/>
      <c r="L83" s="221">
        <v>4.7</v>
      </c>
      <c r="M83" s="221">
        <f t="shared" si="12"/>
        <v>0</v>
      </c>
      <c r="N83" s="221">
        <f t="shared" si="13"/>
        <v>4.7</v>
      </c>
      <c r="O83" s="221">
        <f t="shared" si="10"/>
        <v>4.7</v>
      </c>
      <c r="P83" s="240" t="e">
        <f t="shared" si="11"/>
        <v>#DIV/0!</v>
      </c>
    </row>
    <row r="84" spans="1:16" ht="35.25" customHeight="1">
      <c r="A84" s="225"/>
      <c r="B84" s="247" t="s">
        <v>360</v>
      </c>
      <c r="C84" s="248"/>
      <c r="D84" s="249"/>
      <c r="E84" s="221"/>
      <c r="F84" s="221"/>
      <c r="G84" s="221"/>
      <c r="H84" s="221"/>
      <c r="I84" s="221"/>
      <c r="J84" s="221"/>
      <c r="K84" s="221"/>
      <c r="L84" s="221">
        <v>15.4</v>
      </c>
      <c r="M84" s="221">
        <f t="shared" si="12"/>
        <v>0</v>
      </c>
      <c r="N84" s="221">
        <f t="shared" si="13"/>
        <v>15.4</v>
      </c>
      <c r="O84" s="221">
        <f t="shared" si="10"/>
        <v>15.4</v>
      </c>
      <c r="P84" s="240" t="e">
        <f t="shared" si="11"/>
        <v>#DIV/0!</v>
      </c>
    </row>
    <row r="85" spans="1:16" ht="33" customHeight="1">
      <c r="A85" s="225"/>
      <c r="B85" s="247" t="s">
        <v>361</v>
      </c>
      <c r="C85" s="248"/>
      <c r="D85" s="249"/>
      <c r="E85" s="221"/>
      <c r="F85" s="221"/>
      <c r="G85" s="221"/>
      <c r="H85" s="221"/>
      <c r="I85" s="221"/>
      <c r="J85" s="221"/>
      <c r="K85" s="221"/>
      <c r="L85" s="221">
        <v>22.4</v>
      </c>
      <c r="M85" s="221">
        <f t="shared" si="12"/>
        <v>0</v>
      </c>
      <c r="N85" s="221">
        <f t="shared" si="13"/>
        <v>22.4</v>
      </c>
      <c r="O85" s="221">
        <f t="shared" si="10"/>
        <v>22.4</v>
      </c>
      <c r="P85" s="240" t="e">
        <f t="shared" si="11"/>
        <v>#DIV/0!</v>
      </c>
    </row>
    <row r="86" spans="1:16" ht="30.75" customHeight="1">
      <c r="A86" s="225"/>
      <c r="B86" s="247" t="s">
        <v>362</v>
      </c>
      <c r="C86" s="248"/>
      <c r="D86" s="249"/>
      <c r="E86" s="221"/>
      <c r="F86" s="221"/>
      <c r="G86" s="221"/>
      <c r="H86" s="221"/>
      <c r="I86" s="221"/>
      <c r="J86" s="221"/>
      <c r="K86" s="221"/>
      <c r="L86" s="221">
        <v>19.100000000000001</v>
      </c>
      <c r="M86" s="221">
        <f t="shared" si="12"/>
        <v>0</v>
      </c>
      <c r="N86" s="221">
        <f t="shared" si="13"/>
        <v>19.100000000000001</v>
      </c>
      <c r="O86" s="221">
        <f t="shared" si="10"/>
        <v>19.100000000000001</v>
      </c>
      <c r="P86" s="240" t="e">
        <f t="shared" si="11"/>
        <v>#DIV/0!</v>
      </c>
    </row>
    <row r="87" spans="1:16" ht="28.5" customHeight="1">
      <c r="A87" s="225"/>
      <c r="B87" s="247" t="s">
        <v>363</v>
      </c>
      <c r="C87" s="248"/>
      <c r="D87" s="249"/>
      <c r="E87" s="221"/>
      <c r="F87" s="221"/>
      <c r="G87" s="221"/>
      <c r="H87" s="221"/>
      <c r="I87" s="221"/>
      <c r="J87" s="221"/>
      <c r="K87" s="221"/>
      <c r="L87" s="221">
        <v>17.2</v>
      </c>
      <c r="M87" s="221">
        <f t="shared" si="12"/>
        <v>0</v>
      </c>
      <c r="N87" s="221">
        <f t="shared" si="13"/>
        <v>17.2</v>
      </c>
      <c r="O87" s="221">
        <f t="shared" si="10"/>
        <v>17.2</v>
      </c>
      <c r="P87" s="240" t="e">
        <f t="shared" si="11"/>
        <v>#DIV/0!</v>
      </c>
    </row>
    <row r="88" spans="1:16" ht="25.5" customHeight="1">
      <c r="A88" s="225"/>
      <c r="B88" s="247" t="s">
        <v>364</v>
      </c>
      <c r="C88" s="248"/>
      <c r="D88" s="249"/>
      <c r="E88" s="221"/>
      <c r="F88" s="221"/>
      <c r="G88" s="221"/>
      <c r="H88" s="221"/>
      <c r="I88" s="221"/>
      <c r="J88" s="221"/>
      <c r="K88" s="221"/>
      <c r="L88" s="221">
        <v>23.4</v>
      </c>
      <c r="M88" s="221">
        <f t="shared" si="12"/>
        <v>0</v>
      </c>
      <c r="N88" s="221">
        <f t="shared" si="13"/>
        <v>23.4</v>
      </c>
      <c r="O88" s="221">
        <f t="shared" si="10"/>
        <v>23.4</v>
      </c>
      <c r="P88" s="240" t="e">
        <f t="shared" si="11"/>
        <v>#DIV/0!</v>
      </c>
    </row>
    <row r="89" spans="1:16" ht="33" customHeight="1">
      <c r="A89" s="225"/>
      <c r="B89" s="247" t="s">
        <v>365</v>
      </c>
      <c r="C89" s="248"/>
      <c r="D89" s="249"/>
      <c r="E89" s="221"/>
      <c r="F89" s="221"/>
      <c r="G89" s="221"/>
      <c r="H89" s="221"/>
      <c r="I89" s="221"/>
      <c r="J89" s="221"/>
      <c r="K89" s="221"/>
      <c r="L89" s="221">
        <v>6</v>
      </c>
      <c r="M89" s="221">
        <f t="shared" si="12"/>
        <v>0</v>
      </c>
      <c r="N89" s="221">
        <f t="shared" si="13"/>
        <v>6</v>
      </c>
      <c r="O89" s="221">
        <f t="shared" si="10"/>
        <v>6</v>
      </c>
      <c r="P89" s="240" t="e">
        <f t="shared" si="11"/>
        <v>#DIV/0!</v>
      </c>
    </row>
    <row r="90" spans="1:16" ht="31.5" customHeight="1">
      <c r="A90" s="225"/>
      <c r="B90" s="256" t="s">
        <v>366</v>
      </c>
      <c r="C90" s="257"/>
      <c r="D90" s="258"/>
      <c r="E90" s="221"/>
      <c r="F90" s="221"/>
      <c r="G90" s="221"/>
      <c r="H90" s="221"/>
      <c r="I90" s="221"/>
      <c r="J90" s="221"/>
      <c r="K90" s="221"/>
      <c r="L90" s="221">
        <v>0.5</v>
      </c>
      <c r="M90" s="221">
        <f t="shared" si="12"/>
        <v>0</v>
      </c>
      <c r="N90" s="221">
        <f t="shared" si="13"/>
        <v>0.5</v>
      </c>
      <c r="O90" s="221">
        <f t="shared" si="10"/>
        <v>0.5</v>
      </c>
      <c r="P90" s="240" t="e">
        <f t="shared" si="11"/>
        <v>#DIV/0!</v>
      </c>
    </row>
    <row r="91" spans="1:16" ht="30" customHeight="1">
      <c r="A91" s="225"/>
      <c r="B91" s="253" t="s">
        <v>367</v>
      </c>
      <c r="C91" s="254"/>
      <c r="D91" s="255"/>
      <c r="E91" s="221"/>
      <c r="F91" s="221"/>
      <c r="G91" s="221"/>
      <c r="H91" s="221"/>
      <c r="I91" s="221"/>
      <c r="J91" s="221"/>
      <c r="K91" s="221"/>
      <c r="L91" s="221">
        <v>1</v>
      </c>
      <c r="M91" s="221">
        <f t="shared" si="12"/>
        <v>0</v>
      </c>
      <c r="N91" s="221">
        <f t="shared" si="13"/>
        <v>1</v>
      </c>
      <c r="O91" s="221">
        <f t="shared" si="10"/>
        <v>1</v>
      </c>
      <c r="P91" s="240" t="e">
        <f t="shared" si="11"/>
        <v>#DIV/0!</v>
      </c>
    </row>
    <row r="92" spans="1:16" ht="25.5" customHeight="1">
      <c r="A92" s="225"/>
      <c r="B92" s="256" t="s">
        <v>368</v>
      </c>
      <c r="C92" s="257"/>
      <c r="D92" s="258"/>
      <c r="E92" s="221"/>
      <c r="F92" s="221"/>
      <c r="G92" s="221"/>
      <c r="H92" s="221"/>
      <c r="I92" s="221"/>
      <c r="J92" s="221"/>
      <c r="K92" s="221"/>
      <c r="L92" s="221">
        <v>1.5</v>
      </c>
      <c r="M92" s="221">
        <f t="shared" si="12"/>
        <v>0</v>
      </c>
      <c r="N92" s="221">
        <f t="shared" si="13"/>
        <v>1.5</v>
      </c>
      <c r="O92" s="221">
        <f t="shared" si="10"/>
        <v>1.5</v>
      </c>
      <c r="P92" s="240" t="e">
        <f t="shared" si="11"/>
        <v>#DIV/0!</v>
      </c>
    </row>
    <row r="93" spans="1:16" ht="27.75" customHeight="1">
      <c r="A93" s="225"/>
      <c r="B93" s="256" t="s">
        <v>369</v>
      </c>
      <c r="C93" s="257"/>
      <c r="D93" s="258"/>
      <c r="E93" s="221"/>
      <c r="F93" s="221"/>
      <c r="G93" s="221"/>
      <c r="H93" s="221"/>
      <c r="I93" s="221"/>
      <c r="J93" s="221"/>
      <c r="K93" s="221"/>
      <c r="L93" s="221">
        <v>0.1</v>
      </c>
      <c r="M93" s="221">
        <f t="shared" si="12"/>
        <v>0</v>
      </c>
      <c r="N93" s="221">
        <f t="shared" si="13"/>
        <v>0.1</v>
      </c>
      <c r="O93" s="221">
        <f t="shared" si="10"/>
        <v>0.1</v>
      </c>
      <c r="P93" s="240" t="e">
        <f t="shared" si="11"/>
        <v>#DIV/0!</v>
      </c>
    </row>
    <row r="94" spans="1:16" ht="29.25" customHeight="1">
      <c r="A94" s="225"/>
      <c r="B94" s="256" t="s">
        <v>370</v>
      </c>
      <c r="C94" s="257"/>
      <c r="D94" s="258"/>
      <c r="E94" s="221"/>
      <c r="F94" s="221"/>
      <c r="G94" s="221"/>
      <c r="H94" s="221"/>
      <c r="I94" s="221"/>
      <c r="J94" s="221"/>
      <c r="K94" s="221"/>
      <c r="L94" s="221">
        <v>0.2</v>
      </c>
      <c r="M94" s="221">
        <f t="shared" si="12"/>
        <v>0</v>
      </c>
      <c r="N94" s="221">
        <f t="shared" si="13"/>
        <v>0.2</v>
      </c>
      <c r="O94" s="221">
        <f t="shared" si="10"/>
        <v>0.2</v>
      </c>
      <c r="P94" s="240" t="e">
        <f t="shared" si="11"/>
        <v>#DIV/0!</v>
      </c>
    </row>
    <row r="95" spans="1:16" ht="33" customHeight="1">
      <c r="A95" s="225"/>
      <c r="B95" s="256" t="s">
        <v>371</v>
      </c>
      <c r="C95" s="257"/>
      <c r="D95" s="258"/>
      <c r="E95" s="221"/>
      <c r="F95" s="221"/>
      <c r="G95" s="221"/>
      <c r="H95" s="221"/>
      <c r="I95" s="221"/>
      <c r="J95" s="221"/>
      <c r="K95" s="221"/>
      <c r="L95" s="221">
        <v>11.8</v>
      </c>
      <c r="M95" s="221">
        <f t="shared" si="12"/>
        <v>0</v>
      </c>
      <c r="N95" s="221">
        <f t="shared" si="13"/>
        <v>11.8</v>
      </c>
      <c r="O95" s="221">
        <f t="shared" si="10"/>
        <v>11.8</v>
      </c>
      <c r="P95" s="240" t="e">
        <f t="shared" si="11"/>
        <v>#DIV/0!</v>
      </c>
    </row>
    <row r="96" spans="1:16" ht="33" customHeight="1">
      <c r="A96" s="225"/>
      <c r="B96" s="256" t="s">
        <v>372</v>
      </c>
      <c r="C96" s="257"/>
      <c r="D96" s="258"/>
      <c r="E96" s="221"/>
      <c r="F96" s="221"/>
      <c r="G96" s="221"/>
      <c r="H96" s="221"/>
      <c r="I96" s="221"/>
      <c r="J96" s="221"/>
      <c r="K96" s="221"/>
      <c r="L96" s="221">
        <v>0.6</v>
      </c>
      <c r="M96" s="221">
        <f t="shared" si="12"/>
        <v>0</v>
      </c>
      <c r="N96" s="221">
        <f t="shared" si="13"/>
        <v>0.6</v>
      </c>
      <c r="O96" s="221">
        <f t="shared" si="10"/>
        <v>0.6</v>
      </c>
      <c r="P96" s="240" t="e">
        <f t="shared" si="11"/>
        <v>#DIV/0!</v>
      </c>
    </row>
    <row r="97" spans="1:16" ht="27.75" customHeight="1">
      <c r="A97" s="225"/>
      <c r="B97" s="256" t="s">
        <v>373</v>
      </c>
      <c r="C97" s="257"/>
      <c r="D97" s="258"/>
      <c r="E97" s="221"/>
      <c r="F97" s="221"/>
      <c r="G97" s="221"/>
      <c r="H97" s="221"/>
      <c r="I97" s="221"/>
      <c r="J97" s="221"/>
      <c r="K97" s="221"/>
      <c r="L97" s="221">
        <v>12.5</v>
      </c>
      <c r="M97" s="221">
        <f t="shared" si="12"/>
        <v>0</v>
      </c>
      <c r="N97" s="221">
        <f t="shared" si="13"/>
        <v>12.5</v>
      </c>
      <c r="O97" s="221">
        <f t="shared" si="10"/>
        <v>12.5</v>
      </c>
      <c r="P97" s="240" t="e">
        <f t="shared" si="11"/>
        <v>#DIV/0!</v>
      </c>
    </row>
    <row r="98" spans="1:16" ht="30.75" customHeight="1">
      <c r="A98" s="225"/>
      <c r="B98" s="256" t="s">
        <v>374</v>
      </c>
      <c r="C98" s="257"/>
      <c r="D98" s="258"/>
      <c r="E98" s="221"/>
      <c r="F98" s="221"/>
      <c r="G98" s="221"/>
      <c r="H98" s="221"/>
      <c r="I98" s="221"/>
      <c r="J98" s="221"/>
      <c r="K98" s="221"/>
      <c r="L98" s="221">
        <v>33.299999999999997</v>
      </c>
      <c r="M98" s="221">
        <f t="shared" si="12"/>
        <v>0</v>
      </c>
      <c r="N98" s="221">
        <f t="shared" si="13"/>
        <v>33.299999999999997</v>
      </c>
      <c r="O98" s="221">
        <f t="shared" si="10"/>
        <v>33.299999999999997</v>
      </c>
      <c r="P98" s="240" t="e">
        <f t="shared" si="11"/>
        <v>#DIV/0!</v>
      </c>
    </row>
    <row r="99" spans="1:16" ht="33.75" customHeight="1">
      <c r="A99" s="225"/>
      <c r="B99" s="256" t="s">
        <v>375</v>
      </c>
      <c r="C99" s="257"/>
      <c r="D99" s="258"/>
      <c r="E99" s="221"/>
      <c r="F99" s="221"/>
      <c r="G99" s="221"/>
      <c r="H99" s="221"/>
      <c r="I99" s="221"/>
      <c r="J99" s="221"/>
      <c r="K99" s="221"/>
      <c r="L99" s="221">
        <v>16.8</v>
      </c>
      <c r="M99" s="221">
        <f t="shared" si="12"/>
        <v>0</v>
      </c>
      <c r="N99" s="221">
        <f t="shared" si="13"/>
        <v>16.8</v>
      </c>
      <c r="O99" s="221">
        <f t="shared" si="10"/>
        <v>16.8</v>
      </c>
      <c r="P99" s="240" t="e">
        <f t="shared" si="11"/>
        <v>#DIV/0!</v>
      </c>
    </row>
    <row r="100" spans="1:16" ht="29.25" customHeight="1">
      <c r="A100" s="225"/>
      <c r="B100" s="256" t="s">
        <v>376</v>
      </c>
      <c r="C100" s="257"/>
      <c r="D100" s="258"/>
      <c r="E100" s="221"/>
      <c r="F100" s="221"/>
      <c r="G100" s="221"/>
      <c r="H100" s="221"/>
      <c r="I100" s="221"/>
      <c r="J100" s="221"/>
      <c r="K100" s="221"/>
      <c r="L100" s="221">
        <v>15.9</v>
      </c>
      <c r="M100" s="221">
        <f t="shared" si="12"/>
        <v>0</v>
      </c>
      <c r="N100" s="221">
        <f t="shared" si="13"/>
        <v>15.9</v>
      </c>
      <c r="O100" s="221">
        <f t="shared" si="10"/>
        <v>15.9</v>
      </c>
      <c r="P100" s="240" t="e">
        <f t="shared" si="11"/>
        <v>#DIV/0!</v>
      </c>
    </row>
    <row r="101" spans="1:16" ht="33.75" customHeight="1">
      <c r="A101" s="225"/>
      <c r="B101" s="256" t="s">
        <v>377</v>
      </c>
      <c r="C101" s="257"/>
      <c r="D101" s="258"/>
      <c r="E101" s="221"/>
      <c r="F101" s="221"/>
      <c r="G101" s="221"/>
      <c r="H101" s="221"/>
      <c r="I101" s="221"/>
      <c r="J101" s="221"/>
      <c r="K101" s="221"/>
      <c r="L101" s="221">
        <v>18.7</v>
      </c>
      <c r="M101" s="221">
        <f t="shared" si="12"/>
        <v>0</v>
      </c>
      <c r="N101" s="221">
        <f t="shared" si="13"/>
        <v>18.7</v>
      </c>
      <c r="O101" s="221">
        <f t="shared" si="10"/>
        <v>18.7</v>
      </c>
      <c r="P101" s="240" t="e">
        <f t="shared" si="11"/>
        <v>#DIV/0!</v>
      </c>
    </row>
    <row r="102" spans="1:16" ht="31.5" customHeight="1">
      <c r="A102" s="225"/>
      <c r="B102" s="256" t="s">
        <v>378</v>
      </c>
      <c r="C102" s="257"/>
      <c r="D102" s="258"/>
      <c r="E102" s="221"/>
      <c r="F102" s="221"/>
      <c r="G102" s="221"/>
      <c r="H102" s="221"/>
      <c r="I102" s="221"/>
      <c r="J102" s="221"/>
      <c r="K102" s="221"/>
      <c r="L102" s="221">
        <v>97.9</v>
      </c>
      <c r="M102" s="221">
        <f t="shared" si="12"/>
        <v>0</v>
      </c>
      <c r="N102" s="221">
        <f t="shared" si="13"/>
        <v>97.9</v>
      </c>
      <c r="O102" s="221">
        <f t="shared" si="10"/>
        <v>97.9</v>
      </c>
      <c r="P102" s="240" t="e">
        <f t="shared" si="11"/>
        <v>#DIV/0!</v>
      </c>
    </row>
    <row r="103" spans="1:16" ht="61.5" customHeight="1">
      <c r="A103" s="225"/>
      <c r="B103" s="253" t="s">
        <v>332</v>
      </c>
      <c r="C103" s="254"/>
      <c r="D103" s="255"/>
      <c r="E103" s="221"/>
      <c r="F103" s="221"/>
      <c r="G103" s="221"/>
      <c r="H103" s="221"/>
      <c r="I103" s="221"/>
      <c r="J103" s="221"/>
      <c r="K103" s="221"/>
      <c r="L103" s="221">
        <v>16.2</v>
      </c>
      <c r="M103" s="221">
        <f t="shared" si="12"/>
        <v>0</v>
      </c>
      <c r="N103" s="221">
        <f t="shared" si="13"/>
        <v>16.2</v>
      </c>
      <c r="O103" s="221">
        <f t="shared" si="10"/>
        <v>16.2</v>
      </c>
      <c r="P103" s="240" t="e">
        <f t="shared" si="11"/>
        <v>#DIV/0!</v>
      </c>
    </row>
    <row r="104" spans="1:16" ht="31.5" customHeight="1">
      <c r="A104" s="225"/>
      <c r="B104" s="256" t="s">
        <v>379</v>
      </c>
      <c r="C104" s="257"/>
      <c r="D104" s="258"/>
      <c r="E104" s="221"/>
      <c r="F104" s="221"/>
      <c r="G104" s="221"/>
      <c r="H104" s="221"/>
      <c r="I104" s="221"/>
      <c r="J104" s="221"/>
      <c r="K104" s="221"/>
      <c r="L104" s="221">
        <v>11.9</v>
      </c>
      <c r="M104" s="221">
        <f t="shared" si="12"/>
        <v>0</v>
      </c>
      <c r="N104" s="221">
        <f t="shared" si="13"/>
        <v>11.9</v>
      </c>
      <c r="O104" s="221">
        <f t="shared" si="10"/>
        <v>11.9</v>
      </c>
      <c r="P104" s="240" t="e">
        <f t="shared" si="11"/>
        <v>#DIV/0!</v>
      </c>
    </row>
    <row r="105" spans="1:16" ht="58.5" customHeight="1">
      <c r="A105" s="225"/>
      <c r="B105" s="253" t="s">
        <v>380</v>
      </c>
      <c r="C105" s="254"/>
      <c r="D105" s="255"/>
      <c r="E105" s="221"/>
      <c r="F105" s="221"/>
      <c r="G105" s="221"/>
      <c r="H105" s="221"/>
      <c r="I105" s="221"/>
      <c r="J105" s="221"/>
      <c r="K105" s="221"/>
      <c r="L105" s="221">
        <v>10.3</v>
      </c>
      <c r="M105" s="221">
        <f t="shared" si="12"/>
        <v>0</v>
      </c>
      <c r="N105" s="221">
        <f t="shared" si="13"/>
        <v>10.3</v>
      </c>
      <c r="O105" s="221">
        <f t="shared" si="10"/>
        <v>10.3</v>
      </c>
      <c r="P105" s="240" t="e">
        <f t="shared" si="11"/>
        <v>#DIV/0!</v>
      </c>
    </row>
    <row r="106" spans="1:16" ht="51.75" customHeight="1">
      <c r="A106" s="225"/>
      <c r="B106" s="253" t="s">
        <v>381</v>
      </c>
      <c r="C106" s="254"/>
      <c r="D106" s="255"/>
      <c r="E106" s="221"/>
      <c r="F106" s="221"/>
      <c r="G106" s="221"/>
      <c r="H106" s="221"/>
      <c r="I106" s="221"/>
      <c r="J106" s="221"/>
      <c r="K106" s="221"/>
      <c r="L106" s="221">
        <v>6.2</v>
      </c>
      <c r="M106" s="221">
        <f t="shared" si="12"/>
        <v>0</v>
      </c>
      <c r="N106" s="221">
        <f t="shared" si="13"/>
        <v>6.2</v>
      </c>
      <c r="O106" s="221">
        <f t="shared" si="10"/>
        <v>6.2</v>
      </c>
      <c r="P106" s="240" t="e">
        <f t="shared" si="11"/>
        <v>#DIV/0!</v>
      </c>
    </row>
    <row r="107" spans="1:16" ht="36.75" customHeight="1">
      <c r="A107" s="225"/>
      <c r="B107" s="256" t="s">
        <v>382</v>
      </c>
      <c r="C107" s="257"/>
      <c r="D107" s="258"/>
      <c r="E107" s="221"/>
      <c r="F107" s="221"/>
      <c r="G107" s="221"/>
      <c r="H107" s="221"/>
      <c r="I107" s="221"/>
      <c r="J107" s="221"/>
      <c r="K107" s="221"/>
      <c r="L107" s="221">
        <v>11.3</v>
      </c>
      <c r="M107" s="221">
        <f t="shared" si="12"/>
        <v>0</v>
      </c>
      <c r="N107" s="221">
        <f t="shared" si="13"/>
        <v>11.3</v>
      </c>
      <c r="O107" s="221">
        <f t="shared" si="10"/>
        <v>11.3</v>
      </c>
      <c r="P107" s="240" t="e">
        <f t="shared" si="11"/>
        <v>#DIV/0!</v>
      </c>
    </row>
    <row r="108" spans="1:16" ht="30.75" customHeight="1">
      <c r="A108" s="225"/>
      <c r="B108" s="256" t="s">
        <v>383</v>
      </c>
      <c r="C108" s="257"/>
      <c r="D108" s="258"/>
      <c r="E108" s="221"/>
      <c r="F108" s="221"/>
      <c r="G108" s="221"/>
      <c r="H108" s="221"/>
      <c r="I108" s="221"/>
      <c r="J108" s="221"/>
      <c r="K108" s="221"/>
      <c r="L108" s="221">
        <v>11.5</v>
      </c>
      <c r="M108" s="221">
        <f t="shared" si="12"/>
        <v>0</v>
      </c>
      <c r="N108" s="221">
        <f t="shared" si="13"/>
        <v>11.5</v>
      </c>
      <c r="O108" s="221">
        <f t="shared" si="10"/>
        <v>11.5</v>
      </c>
      <c r="P108" s="240" t="e">
        <f t="shared" si="11"/>
        <v>#DIV/0!</v>
      </c>
    </row>
    <row r="109" spans="1:16" ht="50.25" customHeight="1">
      <c r="A109" s="225"/>
      <c r="B109" s="253" t="s">
        <v>384</v>
      </c>
      <c r="C109" s="254"/>
      <c r="D109" s="255"/>
      <c r="E109" s="221"/>
      <c r="F109" s="221"/>
      <c r="G109" s="221"/>
      <c r="H109" s="221"/>
      <c r="I109" s="221"/>
      <c r="J109" s="221">
        <v>9.8000000000000007</v>
      </c>
      <c r="K109" s="221"/>
      <c r="L109" s="221"/>
      <c r="M109" s="221">
        <f t="shared" si="12"/>
        <v>0</v>
      </c>
      <c r="N109" s="221">
        <f t="shared" si="13"/>
        <v>9.8000000000000007</v>
      </c>
      <c r="O109" s="221">
        <f t="shared" si="10"/>
        <v>9.8000000000000007</v>
      </c>
      <c r="P109" s="240" t="e">
        <f t="shared" si="11"/>
        <v>#DIV/0!</v>
      </c>
    </row>
    <row r="110" spans="1:16" ht="33.75" customHeight="1">
      <c r="A110" s="225"/>
      <c r="B110" s="256" t="s">
        <v>385</v>
      </c>
      <c r="C110" s="257"/>
      <c r="D110" s="258"/>
      <c r="E110" s="221"/>
      <c r="F110" s="221"/>
      <c r="G110" s="221"/>
      <c r="H110" s="221"/>
      <c r="I110" s="221"/>
      <c r="J110" s="221"/>
      <c r="K110" s="221"/>
      <c r="L110" s="221">
        <v>1.9</v>
      </c>
      <c r="M110" s="221">
        <f t="shared" si="12"/>
        <v>0</v>
      </c>
      <c r="N110" s="221">
        <f t="shared" si="13"/>
        <v>1.9</v>
      </c>
      <c r="O110" s="221">
        <f t="shared" si="10"/>
        <v>1.9</v>
      </c>
      <c r="P110" s="240" t="e">
        <f t="shared" si="11"/>
        <v>#DIV/0!</v>
      </c>
    </row>
    <row r="111" spans="1:16" ht="33" customHeight="1">
      <c r="A111" s="225"/>
      <c r="B111" s="256" t="s">
        <v>386</v>
      </c>
      <c r="C111" s="257"/>
      <c r="D111" s="258"/>
      <c r="E111" s="221"/>
      <c r="F111" s="221"/>
      <c r="G111" s="221"/>
      <c r="H111" s="221"/>
      <c r="I111" s="221"/>
      <c r="J111" s="221"/>
      <c r="K111" s="221"/>
      <c r="L111" s="221">
        <v>15.6</v>
      </c>
      <c r="M111" s="221">
        <f t="shared" si="12"/>
        <v>0</v>
      </c>
      <c r="N111" s="221">
        <f t="shared" si="13"/>
        <v>15.6</v>
      </c>
      <c r="O111" s="221">
        <f t="shared" si="10"/>
        <v>15.6</v>
      </c>
      <c r="P111" s="240" t="e">
        <f t="shared" si="11"/>
        <v>#DIV/0!</v>
      </c>
    </row>
    <row r="112" spans="1:16" ht="36" customHeight="1">
      <c r="A112" s="225"/>
      <c r="B112" s="253" t="s">
        <v>387</v>
      </c>
      <c r="C112" s="254"/>
      <c r="D112" s="255"/>
      <c r="E112" s="221"/>
      <c r="F112" s="221"/>
      <c r="G112" s="221"/>
      <c r="H112" s="221"/>
      <c r="I112" s="221"/>
      <c r="J112" s="221">
        <v>27.2</v>
      </c>
      <c r="K112" s="221"/>
      <c r="L112" s="221"/>
      <c r="M112" s="221">
        <f t="shared" si="12"/>
        <v>0</v>
      </c>
      <c r="N112" s="221">
        <f t="shared" si="13"/>
        <v>27.2</v>
      </c>
      <c r="O112" s="221">
        <f t="shared" si="10"/>
        <v>27.2</v>
      </c>
      <c r="P112" s="240" t="e">
        <f t="shared" si="11"/>
        <v>#DIV/0!</v>
      </c>
    </row>
    <row r="113" spans="1:16" ht="33" customHeight="1">
      <c r="A113" s="225"/>
      <c r="B113" s="256" t="s">
        <v>388</v>
      </c>
      <c r="C113" s="257"/>
      <c r="D113" s="258"/>
      <c r="E113" s="221"/>
      <c r="F113" s="221"/>
      <c r="G113" s="221"/>
      <c r="H113" s="221"/>
      <c r="I113" s="221"/>
      <c r="J113" s="221">
        <v>14.5</v>
      </c>
      <c r="K113" s="221"/>
      <c r="L113" s="221"/>
      <c r="M113" s="221">
        <f t="shared" si="12"/>
        <v>0</v>
      </c>
      <c r="N113" s="221">
        <f t="shared" si="13"/>
        <v>14.5</v>
      </c>
      <c r="O113" s="221">
        <f t="shared" si="10"/>
        <v>14.5</v>
      </c>
      <c r="P113" s="240" t="e">
        <f t="shared" si="11"/>
        <v>#DIV/0!</v>
      </c>
    </row>
    <row r="114" spans="1:16" ht="35.25" customHeight="1">
      <c r="A114" s="225"/>
      <c r="B114" s="256" t="s">
        <v>389</v>
      </c>
      <c r="C114" s="257"/>
      <c r="D114" s="258"/>
      <c r="E114" s="221"/>
      <c r="F114" s="221"/>
      <c r="G114" s="221"/>
      <c r="H114" s="221"/>
      <c r="I114" s="221"/>
      <c r="J114" s="221">
        <v>21.8</v>
      </c>
      <c r="K114" s="221"/>
      <c r="L114" s="221"/>
      <c r="M114" s="221">
        <f t="shared" si="12"/>
        <v>0</v>
      </c>
      <c r="N114" s="221">
        <f t="shared" si="13"/>
        <v>21.8</v>
      </c>
      <c r="O114" s="221">
        <f t="shared" si="10"/>
        <v>21.8</v>
      </c>
      <c r="P114" s="240" t="e">
        <f t="shared" si="11"/>
        <v>#DIV/0!</v>
      </c>
    </row>
    <row r="115" spans="1:16" ht="33.75" customHeight="1">
      <c r="A115" s="225"/>
      <c r="B115" s="256" t="s">
        <v>390</v>
      </c>
      <c r="C115" s="257"/>
      <c r="D115" s="258"/>
      <c r="E115" s="221"/>
      <c r="F115" s="221"/>
      <c r="G115" s="221"/>
      <c r="H115" s="221"/>
      <c r="I115" s="221"/>
      <c r="J115" s="221">
        <v>5.7</v>
      </c>
      <c r="K115" s="221"/>
      <c r="L115" s="221"/>
      <c r="M115" s="221">
        <f t="shared" si="12"/>
        <v>0</v>
      </c>
      <c r="N115" s="221">
        <f t="shared" si="13"/>
        <v>5.7</v>
      </c>
      <c r="O115" s="221">
        <f t="shared" si="10"/>
        <v>5.7</v>
      </c>
      <c r="P115" s="240" t="e">
        <f t="shared" si="11"/>
        <v>#DIV/0!</v>
      </c>
    </row>
    <row r="116" spans="1:16" ht="33" customHeight="1">
      <c r="A116" s="225"/>
      <c r="B116" s="256" t="s">
        <v>391</v>
      </c>
      <c r="C116" s="257"/>
      <c r="D116" s="258"/>
      <c r="E116" s="221"/>
      <c r="F116" s="221"/>
      <c r="G116" s="221"/>
      <c r="H116" s="221"/>
      <c r="I116" s="221"/>
      <c r="J116" s="221">
        <v>2.9</v>
      </c>
      <c r="K116" s="221"/>
      <c r="L116" s="221"/>
      <c r="M116" s="221">
        <f t="shared" si="12"/>
        <v>0</v>
      </c>
      <c r="N116" s="221">
        <f t="shared" si="13"/>
        <v>2.9</v>
      </c>
      <c r="O116" s="221">
        <f t="shared" si="10"/>
        <v>2.9</v>
      </c>
      <c r="P116" s="240" t="e">
        <f t="shared" si="11"/>
        <v>#DIV/0!</v>
      </c>
    </row>
    <row r="117" spans="1:16" ht="27.75" customHeight="1">
      <c r="A117" s="225"/>
      <c r="B117" s="256" t="s">
        <v>392</v>
      </c>
      <c r="C117" s="257"/>
      <c r="D117" s="258"/>
      <c r="E117" s="221"/>
      <c r="F117" s="221"/>
      <c r="G117" s="221"/>
      <c r="H117" s="221"/>
      <c r="I117" s="221"/>
      <c r="J117" s="221">
        <v>1.3</v>
      </c>
      <c r="K117" s="221"/>
      <c r="L117" s="221"/>
      <c r="M117" s="221">
        <f t="shared" si="12"/>
        <v>0</v>
      </c>
      <c r="N117" s="221">
        <f t="shared" si="13"/>
        <v>1.3</v>
      </c>
      <c r="O117" s="221">
        <f t="shared" si="10"/>
        <v>1.3</v>
      </c>
      <c r="P117" s="240" t="e">
        <f t="shared" si="11"/>
        <v>#DIV/0!</v>
      </c>
    </row>
    <row r="118" spans="1:16" ht="29.25" customHeight="1">
      <c r="A118" s="225"/>
      <c r="B118" s="256" t="s">
        <v>393</v>
      </c>
      <c r="C118" s="257"/>
      <c r="D118" s="258"/>
      <c r="E118" s="221"/>
      <c r="F118" s="221"/>
      <c r="G118" s="221"/>
      <c r="H118" s="221"/>
      <c r="I118" s="221"/>
      <c r="J118" s="221"/>
      <c r="K118" s="221"/>
      <c r="L118" s="221">
        <v>3.5</v>
      </c>
      <c r="M118" s="221">
        <f t="shared" si="12"/>
        <v>0</v>
      </c>
      <c r="N118" s="221">
        <f t="shared" si="13"/>
        <v>3.5</v>
      </c>
      <c r="O118" s="221">
        <f t="shared" si="10"/>
        <v>3.5</v>
      </c>
      <c r="P118" s="240" t="e">
        <f t="shared" si="11"/>
        <v>#DIV/0!</v>
      </c>
    </row>
    <row r="119" spans="1:16" ht="29.25" customHeight="1">
      <c r="A119" s="225"/>
      <c r="B119" s="256" t="s">
        <v>394</v>
      </c>
      <c r="C119" s="257"/>
      <c r="D119" s="258"/>
      <c r="E119" s="221"/>
      <c r="F119" s="221"/>
      <c r="G119" s="221"/>
      <c r="H119" s="221"/>
      <c r="I119" s="221"/>
      <c r="J119" s="221">
        <v>2</v>
      </c>
      <c r="K119" s="221"/>
      <c r="L119" s="221"/>
      <c r="M119" s="221">
        <f t="shared" si="12"/>
        <v>0</v>
      </c>
      <c r="N119" s="221">
        <f t="shared" si="13"/>
        <v>2</v>
      </c>
      <c r="O119" s="221">
        <f t="shared" si="10"/>
        <v>2</v>
      </c>
      <c r="P119" s="240" t="e">
        <f t="shared" si="11"/>
        <v>#DIV/0!</v>
      </c>
    </row>
    <row r="120" spans="1:16" ht="27.75" customHeight="1">
      <c r="A120" s="225"/>
      <c r="B120" s="256" t="s">
        <v>395</v>
      </c>
      <c r="C120" s="257"/>
      <c r="D120" s="258"/>
      <c r="E120" s="221"/>
      <c r="F120" s="221"/>
      <c r="G120" s="221"/>
      <c r="H120" s="221"/>
      <c r="I120" s="221"/>
      <c r="J120" s="221"/>
      <c r="K120" s="221"/>
      <c r="L120" s="221">
        <v>1</v>
      </c>
      <c r="M120" s="221">
        <f t="shared" si="12"/>
        <v>0</v>
      </c>
      <c r="N120" s="221">
        <f t="shared" si="13"/>
        <v>1</v>
      </c>
      <c r="O120" s="221">
        <f t="shared" si="10"/>
        <v>1</v>
      </c>
      <c r="P120" s="240" t="e">
        <f t="shared" si="11"/>
        <v>#DIV/0!</v>
      </c>
    </row>
    <row r="121" spans="1:16" ht="36.75" customHeight="1">
      <c r="A121" s="225"/>
      <c r="B121" s="256" t="s">
        <v>396</v>
      </c>
      <c r="C121" s="257"/>
      <c r="D121" s="258"/>
      <c r="E121" s="221"/>
      <c r="F121" s="221"/>
      <c r="G121" s="221"/>
      <c r="H121" s="221"/>
      <c r="I121" s="221"/>
      <c r="J121" s="221"/>
      <c r="K121" s="221"/>
      <c r="L121" s="221">
        <v>1</v>
      </c>
      <c r="M121" s="221">
        <f t="shared" si="12"/>
        <v>0</v>
      </c>
      <c r="N121" s="221">
        <f t="shared" si="13"/>
        <v>1</v>
      </c>
      <c r="O121" s="221">
        <f t="shared" si="10"/>
        <v>1</v>
      </c>
      <c r="P121" s="240" t="e">
        <f t="shared" si="11"/>
        <v>#DIV/0!</v>
      </c>
    </row>
    <row r="122" spans="1:16" ht="31.5" customHeight="1">
      <c r="A122" s="225"/>
      <c r="B122" s="256" t="s">
        <v>397</v>
      </c>
      <c r="C122" s="257"/>
      <c r="D122" s="258"/>
      <c r="E122" s="221"/>
      <c r="F122" s="221"/>
      <c r="G122" s="221"/>
      <c r="H122" s="221"/>
      <c r="I122" s="221"/>
      <c r="J122" s="221"/>
      <c r="K122" s="221"/>
      <c r="L122" s="221">
        <v>2.8</v>
      </c>
      <c r="M122" s="221">
        <f t="shared" si="12"/>
        <v>0</v>
      </c>
      <c r="N122" s="221">
        <f t="shared" si="13"/>
        <v>2.8</v>
      </c>
      <c r="O122" s="221">
        <f t="shared" si="10"/>
        <v>2.8</v>
      </c>
      <c r="P122" s="240" t="e">
        <f t="shared" si="11"/>
        <v>#DIV/0!</v>
      </c>
    </row>
    <row r="123" spans="1:16" ht="34.5" customHeight="1">
      <c r="A123" s="225"/>
      <c r="B123" s="256" t="s">
        <v>398</v>
      </c>
      <c r="C123" s="257"/>
      <c r="D123" s="258"/>
      <c r="E123" s="221"/>
      <c r="F123" s="221"/>
      <c r="G123" s="221"/>
      <c r="H123" s="221"/>
      <c r="I123" s="221"/>
      <c r="J123" s="221"/>
      <c r="K123" s="221"/>
      <c r="L123" s="221">
        <v>2</v>
      </c>
      <c r="M123" s="221">
        <f t="shared" si="12"/>
        <v>0</v>
      </c>
      <c r="N123" s="221">
        <f t="shared" si="13"/>
        <v>2</v>
      </c>
      <c r="O123" s="221">
        <f t="shared" si="10"/>
        <v>2</v>
      </c>
      <c r="P123" s="240" t="e">
        <f t="shared" si="11"/>
        <v>#DIV/0!</v>
      </c>
    </row>
    <row r="124" spans="1:16" ht="30.75" customHeight="1">
      <c r="A124" s="225"/>
      <c r="B124" s="256" t="s">
        <v>399</v>
      </c>
      <c r="C124" s="257"/>
      <c r="D124" s="258"/>
      <c r="E124" s="221"/>
      <c r="F124" s="221"/>
      <c r="G124" s="221"/>
      <c r="H124" s="221"/>
      <c r="I124" s="221"/>
      <c r="J124" s="221"/>
      <c r="K124" s="221"/>
      <c r="L124" s="221">
        <v>2.5</v>
      </c>
      <c r="M124" s="221">
        <f t="shared" si="12"/>
        <v>0</v>
      </c>
      <c r="N124" s="221">
        <f t="shared" si="13"/>
        <v>2.5</v>
      </c>
      <c r="O124" s="221">
        <f t="shared" si="10"/>
        <v>2.5</v>
      </c>
      <c r="P124" s="240" t="e">
        <f t="shared" si="11"/>
        <v>#DIV/0!</v>
      </c>
    </row>
    <row r="125" spans="1:16" ht="30.75" customHeight="1">
      <c r="A125" s="225"/>
      <c r="B125" s="256" t="s">
        <v>400</v>
      </c>
      <c r="C125" s="257"/>
      <c r="D125" s="258"/>
      <c r="E125" s="221"/>
      <c r="F125" s="221"/>
      <c r="G125" s="221"/>
      <c r="H125" s="221"/>
      <c r="I125" s="221"/>
      <c r="J125" s="221"/>
      <c r="K125" s="221"/>
      <c r="L125" s="221">
        <v>5</v>
      </c>
      <c r="M125" s="221">
        <f t="shared" si="12"/>
        <v>0</v>
      </c>
      <c r="N125" s="221">
        <f t="shared" si="13"/>
        <v>5</v>
      </c>
      <c r="O125" s="221">
        <f t="shared" si="10"/>
        <v>5</v>
      </c>
      <c r="P125" s="240" t="e">
        <f t="shared" si="11"/>
        <v>#DIV/0!</v>
      </c>
    </row>
    <row r="126" spans="1:16" ht="30.75" customHeight="1">
      <c r="A126" s="225"/>
      <c r="B126" s="256" t="s">
        <v>401</v>
      </c>
      <c r="C126" s="257"/>
      <c r="D126" s="258"/>
      <c r="E126" s="221"/>
      <c r="F126" s="221"/>
      <c r="G126" s="221"/>
      <c r="H126" s="221"/>
      <c r="I126" s="221"/>
      <c r="J126" s="221"/>
      <c r="K126" s="221"/>
      <c r="L126" s="221">
        <v>2.5</v>
      </c>
      <c r="M126" s="221">
        <f t="shared" si="12"/>
        <v>0</v>
      </c>
      <c r="N126" s="221">
        <f t="shared" si="13"/>
        <v>2.5</v>
      </c>
      <c r="O126" s="221">
        <f t="shared" si="10"/>
        <v>2.5</v>
      </c>
      <c r="P126" s="240" t="e">
        <f t="shared" si="11"/>
        <v>#DIV/0!</v>
      </c>
    </row>
    <row r="127" spans="1:16" ht="32.25" customHeight="1">
      <c r="A127" s="225"/>
      <c r="B127" s="256" t="s">
        <v>402</v>
      </c>
      <c r="C127" s="257"/>
      <c r="D127" s="258"/>
      <c r="E127" s="221"/>
      <c r="F127" s="221"/>
      <c r="G127" s="221"/>
      <c r="H127" s="221"/>
      <c r="I127" s="221"/>
      <c r="J127" s="221"/>
      <c r="K127" s="221"/>
      <c r="L127" s="221">
        <v>2.5</v>
      </c>
      <c r="M127" s="221">
        <f t="shared" si="12"/>
        <v>0</v>
      </c>
      <c r="N127" s="221">
        <f t="shared" si="13"/>
        <v>2.5</v>
      </c>
      <c r="O127" s="221">
        <f t="shared" si="10"/>
        <v>2.5</v>
      </c>
      <c r="P127" s="240" t="e">
        <f t="shared" si="11"/>
        <v>#DIV/0!</v>
      </c>
    </row>
    <row r="128" spans="1:16" ht="30.75" customHeight="1">
      <c r="A128" s="225"/>
      <c r="B128" s="256" t="s">
        <v>403</v>
      </c>
      <c r="C128" s="257"/>
      <c r="D128" s="258"/>
      <c r="E128" s="221"/>
      <c r="F128" s="221"/>
      <c r="G128" s="221"/>
      <c r="H128" s="221"/>
      <c r="I128" s="221"/>
      <c r="J128" s="221"/>
      <c r="K128" s="221"/>
      <c r="L128" s="221">
        <v>2.6</v>
      </c>
      <c r="M128" s="221">
        <f t="shared" si="12"/>
        <v>0</v>
      </c>
      <c r="N128" s="221">
        <f t="shared" si="13"/>
        <v>2.6</v>
      </c>
      <c r="O128" s="221">
        <f t="shared" si="10"/>
        <v>2.6</v>
      </c>
      <c r="P128" s="240" t="e">
        <f t="shared" si="11"/>
        <v>#DIV/0!</v>
      </c>
    </row>
    <row r="129" spans="1:16" ht="30.75" customHeight="1">
      <c r="A129" s="225"/>
      <c r="B129" s="256" t="s">
        <v>404</v>
      </c>
      <c r="C129" s="257"/>
      <c r="D129" s="258"/>
      <c r="E129" s="221"/>
      <c r="F129" s="221"/>
      <c r="G129" s="221"/>
      <c r="H129" s="221"/>
      <c r="I129" s="221"/>
      <c r="J129" s="221"/>
      <c r="K129" s="221"/>
      <c r="L129" s="221">
        <v>0.8</v>
      </c>
      <c r="M129" s="221">
        <f t="shared" si="12"/>
        <v>0</v>
      </c>
      <c r="N129" s="221">
        <f t="shared" si="13"/>
        <v>0.8</v>
      </c>
      <c r="O129" s="221">
        <f t="shared" si="10"/>
        <v>0.8</v>
      </c>
      <c r="P129" s="240" t="e">
        <f t="shared" si="11"/>
        <v>#DIV/0!</v>
      </c>
    </row>
    <row r="130" spans="1:16" ht="30.75" customHeight="1">
      <c r="A130" s="225"/>
      <c r="B130" s="256" t="s">
        <v>405</v>
      </c>
      <c r="C130" s="257"/>
      <c r="D130" s="258"/>
      <c r="E130" s="221"/>
      <c r="F130" s="221"/>
      <c r="G130" s="221"/>
      <c r="H130" s="221"/>
      <c r="I130" s="221"/>
      <c r="J130" s="221"/>
      <c r="K130" s="221"/>
      <c r="L130" s="221">
        <v>0.5</v>
      </c>
      <c r="M130" s="221">
        <f t="shared" si="12"/>
        <v>0</v>
      </c>
      <c r="N130" s="221">
        <f t="shared" si="13"/>
        <v>0.5</v>
      </c>
      <c r="O130" s="221">
        <f t="shared" si="10"/>
        <v>0.5</v>
      </c>
      <c r="P130" s="240" t="e">
        <f t="shared" si="11"/>
        <v>#DIV/0!</v>
      </c>
    </row>
    <row r="131" spans="1:16" ht="31.5" customHeight="1">
      <c r="A131" s="225"/>
      <c r="B131" s="256" t="s">
        <v>406</v>
      </c>
      <c r="C131" s="257"/>
      <c r="D131" s="258"/>
      <c r="E131" s="221"/>
      <c r="F131" s="221"/>
      <c r="G131" s="221"/>
      <c r="H131" s="221"/>
      <c r="I131" s="221"/>
      <c r="J131" s="221"/>
      <c r="K131" s="221"/>
      <c r="L131" s="221">
        <v>1.5</v>
      </c>
      <c r="M131" s="221">
        <f t="shared" si="12"/>
        <v>0</v>
      </c>
      <c r="N131" s="221">
        <f t="shared" si="13"/>
        <v>1.5</v>
      </c>
      <c r="O131" s="221">
        <f t="shared" si="10"/>
        <v>1.5</v>
      </c>
      <c r="P131" s="240" t="e">
        <f t="shared" si="11"/>
        <v>#DIV/0!</v>
      </c>
    </row>
    <row r="132" spans="1:16" ht="46.5" customHeight="1">
      <c r="A132" s="225"/>
      <c r="B132" s="253" t="s">
        <v>407</v>
      </c>
      <c r="C132" s="254"/>
      <c r="D132" s="255"/>
      <c r="E132" s="221"/>
      <c r="F132" s="221"/>
      <c r="G132" s="221"/>
      <c r="H132" s="221"/>
      <c r="I132" s="221"/>
      <c r="J132" s="221"/>
      <c r="K132" s="221"/>
      <c r="L132" s="221">
        <v>7.7</v>
      </c>
      <c r="M132" s="221">
        <f t="shared" si="12"/>
        <v>0</v>
      </c>
      <c r="N132" s="221">
        <f t="shared" si="13"/>
        <v>7.7</v>
      </c>
      <c r="O132" s="221">
        <f t="shared" si="10"/>
        <v>7.7</v>
      </c>
      <c r="P132" s="240" t="e">
        <f t="shared" si="11"/>
        <v>#DIV/0!</v>
      </c>
    </row>
    <row r="133" spans="1:16" ht="34.5" customHeight="1">
      <c r="A133" s="225"/>
      <c r="B133" s="256" t="s">
        <v>408</v>
      </c>
      <c r="C133" s="257"/>
      <c r="D133" s="258"/>
      <c r="E133" s="221"/>
      <c r="F133" s="221"/>
      <c r="G133" s="221"/>
      <c r="H133" s="221"/>
      <c r="I133" s="221"/>
      <c r="J133" s="221"/>
      <c r="K133" s="221"/>
      <c r="L133" s="221">
        <v>2.2000000000000002</v>
      </c>
      <c r="M133" s="221">
        <f t="shared" si="12"/>
        <v>0</v>
      </c>
      <c r="N133" s="221">
        <f t="shared" si="13"/>
        <v>2.2000000000000002</v>
      </c>
      <c r="O133" s="221">
        <f t="shared" si="10"/>
        <v>2.2000000000000002</v>
      </c>
      <c r="P133" s="240" t="e">
        <f t="shared" si="11"/>
        <v>#DIV/0!</v>
      </c>
    </row>
    <row r="134" spans="1:16" ht="28.5" customHeight="1">
      <c r="A134" s="225"/>
      <c r="B134" s="256" t="s">
        <v>409</v>
      </c>
      <c r="C134" s="257"/>
      <c r="D134" s="258"/>
      <c r="E134" s="221"/>
      <c r="F134" s="221"/>
      <c r="G134" s="221"/>
      <c r="H134" s="221"/>
      <c r="I134" s="221"/>
      <c r="J134" s="221"/>
      <c r="K134" s="221"/>
      <c r="L134" s="221">
        <v>7.2</v>
      </c>
      <c r="M134" s="221">
        <f t="shared" si="12"/>
        <v>0</v>
      </c>
      <c r="N134" s="221">
        <f t="shared" si="13"/>
        <v>7.2</v>
      </c>
      <c r="O134" s="221">
        <f t="shared" si="10"/>
        <v>7.2</v>
      </c>
      <c r="P134" s="240" t="e">
        <f t="shared" si="11"/>
        <v>#DIV/0!</v>
      </c>
    </row>
    <row r="135" spans="1:16" ht="33.75" customHeight="1">
      <c r="A135" s="225"/>
      <c r="B135" s="256" t="s">
        <v>410</v>
      </c>
      <c r="C135" s="257"/>
      <c r="D135" s="258"/>
      <c r="E135" s="221"/>
      <c r="F135" s="221"/>
      <c r="G135" s="221"/>
      <c r="H135" s="221"/>
      <c r="I135" s="221"/>
      <c r="J135" s="221"/>
      <c r="K135" s="221"/>
      <c r="L135" s="221">
        <v>2.8</v>
      </c>
      <c r="M135" s="221">
        <f t="shared" si="12"/>
        <v>0</v>
      </c>
      <c r="N135" s="221">
        <f t="shared" si="13"/>
        <v>2.8</v>
      </c>
      <c r="O135" s="221">
        <f t="shared" si="10"/>
        <v>2.8</v>
      </c>
      <c r="P135" s="240" t="e">
        <f t="shared" si="11"/>
        <v>#DIV/0!</v>
      </c>
    </row>
    <row r="136" spans="1:16" ht="29.25" customHeight="1">
      <c r="A136" s="225"/>
      <c r="B136" s="256" t="s">
        <v>411</v>
      </c>
      <c r="C136" s="257"/>
      <c r="D136" s="258"/>
      <c r="E136" s="221"/>
      <c r="F136" s="221"/>
      <c r="G136" s="221"/>
      <c r="H136" s="221"/>
      <c r="I136" s="221"/>
      <c r="J136" s="221"/>
      <c r="K136" s="221"/>
      <c r="L136" s="221">
        <v>0.4</v>
      </c>
      <c r="M136" s="221">
        <f t="shared" si="12"/>
        <v>0</v>
      </c>
      <c r="N136" s="221">
        <f t="shared" si="13"/>
        <v>0.4</v>
      </c>
      <c r="O136" s="221">
        <f t="shared" si="10"/>
        <v>0.4</v>
      </c>
      <c r="P136" s="240" t="e">
        <f t="shared" si="11"/>
        <v>#DIV/0!</v>
      </c>
    </row>
    <row r="137" spans="1:16" ht="27.75" customHeight="1">
      <c r="A137" s="225"/>
      <c r="B137" s="256" t="s">
        <v>412</v>
      </c>
      <c r="C137" s="257"/>
      <c r="D137" s="258"/>
      <c r="E137" s="221"/>
      <c r="F137" s="221"/>
      <c r="G137" s="221"/>
      <c r="H137" s="221"/>
      <c r="I137" s="221"/>
      <c r="J137" s="221"/>
      <c r="K137" s="221"/>
      <c r="L137" s="221">
        <v>0.4</v>
      </c>
      <c r="M137" s="221">
        <f t="shared" si="12"/>
        <v>0</v>
      </c>
      <c r="N137" s="221">
        <f t="shared" si="13"/>
        <v>0.4</v>
      </c>
      <c r="O137" s="221">
        <f t="shared" si="10"/>
        <v>0.4</v>
      </c>
      <c r="P137" s="240" t="e">
        <f t="shared" si="11"/>
        <v>#DIV/0!</v>
      </c>
    </row>
    <row r="138" spans="1:16" ht="33.75" customHeight="1">
      <c r="A138" s="225"/>
      <c r="B138" s="256" t="s">
        <v>413</v>
      </c>
      <c r="C138" s="257"/>
      <c r="D138" s="258"/>
      <c r="E138" s="221"/>
      <c r="F138" s="221"/>
      <c r="G138" s="221"/>
      <c r="H138" s="221"/>
      <c r="I138" s="221"/>
      <c r="J138" s="221"/>
      <c r="K138" s="221"/>
      <c r="L138" s="221">
        <v>0.4</v>
      </c>
      <c r="M138" s="221">
        <f t="shared" si="12"/>
        <v>0</v>
      </c>
      <c r="N138" s="221">
        <f t="shared" si="13"/>
        <v>0.4</v>
      </c>
      <c r="O138" s="221">
        <f t="shared" ref="O138:O201" si="14">N138-M138</f>
        <v>0.4</v>
      </c>
      <c r="P138" s="240" t="e">
        <f t="shared" ref="P138:P201" si="15">(N138/M138)*100</f>
        <v>#DIV/0!</v>
      </c>
    </row>
    <row r="139" spans="1:16" ht="36" customHeight="1">
      <c r="A139" s="225"/>
      <c r="B139" s="256" t="s">
        <v>414</v>
      </c>
      <c r="C139" s="257"/>
      <c r="D139" s="258"/>
      <c r="E139" s="221"/>
      <c r="F139" s="221"/>
      <c r="G139" s="221"/>
      <c r="H139" s="221"/>
      <c r="I139" s="221"/>
      <c r="J139" s="221"/>
      <c r="K139" s="221"/>
      <c r="L139" s="221">
        <v>0.4</v>
      </c>
      <c r="M139" s="221">
        <f t="shared" ref="M139:M202" si="16">E139+G139+I139+K139</f>
        <v>0</v>
      </c>
      <c r="N139" s="221">
        <f t="shared" ref="N139:N202" si="17">F139+H139+J139+L139</f>
        <v>0.4</v>
      </c>
      <c r="O139" s="221">
        <f t="shared" si="14"/>
        <v>0.4</v>
      </c>
      <c r="P139" s="240" t="e">
        <f t="shared" si="15"/>
        <v>#DIV/0!</v>
      </c>
    </row>
    <row r="140" spans="1:16" ht="31.5" customHeight="1">
      <c r="A140" s="225"/>
      <c r="B140" s="256" t="s">
        <v>415</v>
      </c>
      <c r="C140" s="257"/>
      <c r="D140" s="258"/>
      <c r="E140" s="221"/>
      <c r="F140" s="221"/>
      <c r="G140" s="221"/>
      <c r="H140" s="221"/>
      <c r="I140" s="221"/>
      <c r="J140" s="221">
        <v>2.5</v>
      </c>
      <c r="K140" s="221"/>
      <c r="L140" s="221"/>
      <c r="M140" s="221">
        <f t="shared" si="16"/>
        <v>0</v>
      </c>
      <c r="N140" s="221">
        <f t="shared" si="17"/>
        <v>2.5</v>
      </c>
      <c r="O140" s="221">
        <f t="shared" si="14"/>
        <v>2.5</v>
      </c>
      <c r="P140" s="240" t="e">
        <f t="shared" si="15"/>
        <v>#DIV/0!</v>
      </c>
    </row>
    <row r="141" spans="1:16" ht="28.5" customHeight="1">
      <c r="A141" s="225"/>
      <c r="B141" s="256" t="s">
        <v>416</v>
      </c>
      <c r="C141" s="257"/>
      <c r="D141" s="258"/>
      <c r="E141" s="221"/>
      <c r="F141" s="221"/>
      <c r="G141" s="221"/>
      <c r="H141" s="221"/>
      <c r="I141" s="221"/>
      <c r="J141" s="221">
        <v>1.1000000000000001</v>
      </c>
      <c r="K141" s="221"/>
      <c r="L141" s="221"/>
      <c r="M141" s="221">
        <f t="shared" si="16"/>
        <v>0</v>
      </c>
      <c r="N141" s="221">
        <f t="shared" si="17"/>
        <v>1.1000000000000001</v>
      </c>
      <c r="O141" s="221">
        <f t="shared" si="14"/>
        <v>1.1000000000000001</v>
      </c>
      <c r="P141" s="240" t="e">
        <f t="shared" si="15"/>
        <v>#DIV/0!</v>
      </c>
    </row>
    <row r="142" spans="1:16" ht="51" customHeight="1">
      <c r="A142" s="225"/>
      <c r="B142" s="253" t="s">
        <v>417</v>
      </c>
      <c r="C142" s="254"/>
      <c r="D142" s="255"/>
      <c r="E142" s="221"/>
      <c r="F142" s="221"/>
      <c r="G142" s="221"/>
      <c r="H142" s="221"/>
      <c r="I142" s="221"/>
      <c r="J142" s="221">
        <v>21.4</v>
      </c>
      <c r="K142" s="221"/>
      <c r="L142" s="221"/>
      <c r="M142" s="221">
        <f t="shared" si="16"/>
        <v>0</v>
      </c>
      <c r="N142" s="221">
        <f t="shared" si="17"/>
        <v>21.4</v>
      </c>
      <c r="O142" s="221">
        <f t="shared" si="14"/>
        <v>21.4</v>
      </c>
      <c r="P142" s="240" t="e">
        <f t="shared" si="15"/>
        <v>#DIV/0!</v>
      </c>
    </row>
    <row r="143" spans="1:16" ht="48" customHeight="1">
      <c r="A143" s="225"/>
      <c r="B143" s="253" t="s">
        <v>418</v>
      </c>
      <c r="C143" s="254"/>
      <c r="D143" s="255"/>
      <c r="E143" s="221"/>
      <c r="F143" s="221"/>
      <c r="G143" s="221"/>
      <c r="H143" s="221"/>
      <c r="I143" s="221"/>
      <c r="J143" s="221">
        <v>4.3</v>
      </c>
      <c r="K143" s="221"/>
      <c r="L143" s="221"/>
      <c r="M143" s="221">
        <f t="shared" si="16"/>
        <v>0</v>
      </c>
      <c r="N143" s="221">
        <f t="shared" si="17"/>
        <v>4.3</v>
      </c>
      <c r="O143" s="221">
        <f t="shared" si="14"/>
        <v>4.3</v>
      </c>
      <c r="P143" s="240" t="e">
        <f t="shared" si="15"/>
        <v>#DIV/0!</v>
      </c>
    </row>
    <row r="144" spans="1:16" ht="33.75" customHeight="1">
      <c r="A144" s="225"/>
      <c r="B144" s="256" t="s">
        <v>419</v>
      </c>
      <c r="C144" s="257"/>
      <c r="D144" s="258"/>
      <c r="E144" s="221"/>
      <c r="F144" s="221"/>
      <c r="G144" s="221"/>
      <c r="H144" s="221"/>
      <c r="I144" s="221"/>
      <c r="J144" s="221">
        <v>9.4</v>
      </c>
      <c r="K144" s="221"/>
      <c r="L144" s="221"/>
      <c r="M144" s="221">
        <f t="shared" si="16"/>
        <v>0</v>
      </c>
      <c r="N144" s="221">
        <f t="shared" si="17"/>
        <v>9.4</v>
      </c>
      <c r="O144" s="221">
        <f t="shared" si="14"/>
        <v>9.4</v>
      </c>
      <c r="P144" s="240" t="e">
        <f t="shared" si="15"/>
        <v>#DIV/0!</v>
      </c>
    </row>
    <row r="145" spans="1:16" ht="33.75" customHeight="1">
      <c r="A145" s="225"/>
      <c r="B145" s="256" t="s">
        <v>420</v>
      </c>
      <c r="C145" s="257"/>
      <c r="D145" s="258"/>
      <c r="E145" s="221"/>
      <c r="F145" s="221"/>
      <c r="G145" s="221"/>
      <c r="H145" s="221"/>
      <c r="I145" s="221"/>
      <c r="J145" s="221">
        <v>11</v>
      </c>
      <c r="K145" s="221"/>
      <c r="L145" s="221"/>
      <c r="M145" s="221">
        <f t="shared" si="16"/>
        <v>0</v>
      </c>
      <c r="N145" s="221">
        <f t="shared" si="17"/>
        <v>11</v>
      </c>
      <c r="O145" s="221">
        <f t="shared" si="14"/>
        <v>11</v>
      </c>
      <c r="P145" s="240" t="e">
        <f t="shared" si="15"/>
        <v>#DIV/0!</v>
      </c>
    </row>
    <row r="146" spans="1:16" ht="36.75" customHeight="1">
      <c r="A146" s="225"/>
      <c r="B146" s="256" t="s">
        <v>421</v>
      </c>
      <c r="C146" s="257"/>
      <c r="D146" s="258"/>
      <c r="E146" s="221"/>
      <c r="F146" s="221"/>
      <c r="G146" s="221"/>
      <c r="H146" s="221"/>
      <c r="I146" s="221"/>
      <c r="J146" s="221">
        <v>22.1</v>
      </c>
      <c r="K146" s="221"/>
      <c r="L146" s="221"/>
      <c r="M146" s="221">
        <f t="shared" si="16"/>
        <v>0</v>
      </c>
      <c r="N146" s="221">
        <f t="shared" si="17"/>
        <v>22.1</v>
      </c>
      <c r="O146" s="221">
        <f t="shared" si="14"/>
        <v>22.1</v>
      </c>
      <c r="P146" s="240" t="e">
        <f t="shared" si="15"/>
        <v>#DIV/0!</v>
      </c>
    </row>
    <row r="147" spans="1:16" ht="30.75" customHeight="1">
      <c r="A147" s="225"/>
      <c r="B147" s="256" t="s">
        <v>422</v>
      </c>
      <c r="C147" s="257"/>
      <c r="D147" s="258"/>
      <c r="E147" s="221"/>
      <c r="F147" s="221"/>
      <c r="G147" s="221"/>
      <c r="H147" s="221"/>
      <c r="I147" s="221"/>
      <c r="J147" s="221">
        <v>26.3</v>
      </c>
      <c r="K147" s="221"/>
      <c r="L147" s="221"/>
      <c r="M147" s="221">
        <f t="shared" si="16"/>
        <v>0</v>
      </c>
      <c r="N147" s="221">
        <f t="shared" si="17"/>
        <v>26.3</v>
      </c>
      <c r="O147" s="221">
        <f t="shared" si="14"/>
        <v>26.3</v>
      </c>
      <c r="P147" s="240" t="e">
        <f t="shared" si="15"/>
        <v>#DIV/0!</v>
      </c>
    </row>
    <row r="148" spans="1:16" ht="36.75" customHeight="1">
      <c r="A148" s="225"/>
      <c r="B148" s="256" t="s">
        <v>423</v>
      </c>
      <c r="C148" s="257"/>
      <c r="D148" s="258"/>
      <c r="E148" s="221"/>
      <c r="F148" s="221"/>
      <c r="G148" s="221"/>
      <c r="H148" s="221"/>
      <c r="I148" s="221"/>
      <c r="J148" s="221"/>
      <c r="K148" s="221"/>
      <c r="L148" s="221">
        <v>31.2</v>
      </c>
      <c r="M148" s="221">
        <f t="shared" si="16"/>
        <v>0</v>
      </c>
      <c r="N148" s="221">
        <f t="shared" si="17"/>
        <v>31.2</v>
      </c>
      <c r="O148" s="221">
        <f t="shared" si="14"/>
        <v>31.2</v>
      </c>
      <c r="P148" s="240" t="e">
        <f t="shared" si="15"/>
        <v>#DIV/0!</v>
      </c>
    </row>
    <row r="149" spans="1:16" ht="58.5" customHeight="1">
      <c r="A149" s="225"/>
      <c r="B149" s="253" t="s">
        <v>424</v>
      </c>
      <c r="C149" s="254"/>
      <c r="D149" s="255"/>
      <c r="E149" s="221"/>
      <c r="F149" s="221"/>
      <c r="G149" s="221"/>
      <c r="H149" s="221"/>
      <c r="I149" s="221"/>
      <c r="J149" s="221"/>
      <c r="K149" s="221"/>
      <c r="L149" s="221">
        <v>5.4</v>
      </c>
      <c r="M149" s="221">
        <f t="shared" si="16"/>
        <v>0</v>
      </c>
      <c r="N149" s="221">
        <f t="shared" si="17"/>
        <v>5.4</v>
      </c>
      <c r="O149" s="221">
        <f t="shared" si="14"/>
        <v>5.4</v>
      </c>
      <c r="P149" s="240" t="e">
        <f t="shared" si="15"/>
        <v>#DIV/0!</v>
      </c>
    </row>
    <row r="150" spans="1:16" ht="37.5" customHeight="1">
      <c r="A150" s="225"/>
      <c r="B150" s="256" t="s">
        <v>425</v>
      </c>
      <c r="C150" s="257"/>
      <c r="D150" s="258"/>
      <c r="E150" s="221"/>
      <c r="F150" s="221"/>
      <c r="G150" s="221"/>
      <c r="H150" s="221"/>
      <c r="I150" s="221"/>
      <c r="J150" s="221"/>
      <c r="K150" s="221"/>
      <c r="L150" s="221">
        <v>3.1</v>
      </c>
      <c r="M150" s="221">
        <f t="shared" si="16"/>
        <v>0</v>
      </c>
      <c r="N150" s="221">
        <f t="shared" si="17"/>
        <v>3.1</v>
      </c>
      <c r="O150" s="221">
        <f t="shared" si="14"/>
        <v>3.1</v>
      </c>
      <c r="P150" s="240" t="e">
        <f t="shared" si="15"/>
        <v>#DIV/0!</v>
      </c>
    </row>
    <row r="151" spans="1:16" ht="33" customHeight="1">
      <c r="A151" s="225"/>
      <c r="B151" s="256" t="s">
        <v>426</v>
      </c>
      <c r="C151" s="257"/>
      <c r="D151" s="258"/>
      <c r="E151" s="221"/>
      <c r="F151" s="221"/>
      <c r="G151" s="221"/>
      <c r="H151" s="221"/>
      <c r="I151" s="221"/>
      <c r="J151" s="221">
        <v>16.3</v>
      </c>
      <c r="K151" s="221"/>
      <c r="L151" s="221"/>
      <c r="M151" s="221">
        <f t="shared" si="16"/>
        <v>0</v>
      </c>
      <c r="N151" s="221">
        <f t="shared" si="17"/>
        <v>16.3</v>
      </c>
      <c r="O151" s="221">
        <f t="shared" si="14"/>
        <v>16.3</v>
      </c>
      <c r="P151" s="240" t="e">
        <f t="shared" si="15"/>
        <v>#DIV/0!</v>
      </c>
    </row>
    <row r="152" spans="1:16" ht="30.75" customHeight="1">
      <c r="A152" s="225"/>
      <c r="B152" s="256" t="s">
        <v>427</v>
      </c>
      <c r="C152" s="257"/>
      <c r="D152" s="258"/>
      <c r="E152" s="221"/>
      <c r="F152" s="221"/>
      <c r="G152" s="221"/>
      <c r="H152" s="221"/>
      <c r="I152" s="221"/>
      <c r="J152" s="221">
        <v>18.8</v>
      </c>
      <c r="K152" s="221"/>
      <c r="L152" s="221"/>
      <c r="M152" s="221">
        <f t="shared" si="16"/>
        <v>0</v>
      </c>
      <c r="N152" s="221">
        <f t="shared" si="17"/>
        <v>18.8</v>
      </c>
      <c r="O152" s="221">
        <f t="shared" si="14"/>
        <v>18.8</v>
      </c>
      <c r="P152" s="240" t="e">
        <f t="shared" si="15"/>
        <v>#DIV/0!</v>
      </c>
    </row>
    <row r="153" spans="1:16" ht="58.5" customHeight="1">
      <c r="A153" s="225"/>
      <c r="B153" s="253" t="s">
        <v>428</v>
      </c>
      <c r="C153" s="254"/>
      <c r="D153" s="255"/>
      <c r="E153" s="221"/>
      <c r="F153" s="221"/>
      <c r="G153" s="221"/>
      <c r="H153" s="221"/>
      <c r="I153" s="221"/>
      <c r="J153" s="221"/>
      <c r="K153" s="221"/>
      <c r="L153" s="221">
        <v>33</v>
      </c>
      <c r="M153" s="221">
        <f t="shared" si="16"/>
        <v>0</v>
      </c>
      <c r="N153" s="221">
        <f t="shared" si="17"/>
        <v>33</v>
      </c>
      <c r="O153" s="221">
        <f t="shared" si="14"/>
        <v>33</v>
      </c>
      <c r="P153" s="240" t="e">
        <f t="shared" si="15"/>
        <v>#DIV/0!</v>
      </c>
    </row>
    <row r="154" spans="1:16" ht="33" customHeight="1">
      <c r="A154" s="225"/>
      <c r="B154" s="256" t="s">
        <v>429</v>
      </c>
      <c r="C154" s="257"/>
      <c r="D154" s="258"/>
      <c r="E154" s="221"/>
      <c r="F154" s="221"/>
      <c r="G154" s="221"/>
      <c r="H154" s="221"/>
      <c r="I154" s="221"/>
      <c r="J154" s="221"/>
      <c r="K154" s="221"/>
      <c r="L154" s="221">
        <v>31.5</v>
      </c>
      <c r="M154" s="221">
        <f t="shared" si="16"/>
        <v>0</v>
      </c>
      <c r="N154" s="221">
        <f t="shared" si="17"/>
        <v>31.5</v>
      </c>
      <c r="O154" s="221">
        <f t="shared" si="14"/>
        <v>31.5</v>
      </c>
      <c r="P154" s="240" t="e">
        <f t="shared" si="15"/>
        <v>#DIV/0!</v>
      </c>
    </row>
    <row r="155" spans="1:16" ht="58.5" customHeight="1">
      <c r="A155" s="225"/>
      <c r="B155" s="253" t="s">
        <v>430</v>
      </c>
      <c r="C155" s="254"/>
      <c r="D155" s="255"/>
      <c r="E155" s="221"/>
      <c r="F155" s="221"/>
      <c r="G155" s="221"/>
      <c r="H155" s="221"/>
      <c r="I155" s="221"/>
      <c r="J155" s="221"/>
      <c r="K155" s="221"/>
      <c r="L155" s="221">
        <v>22</v>
      </c>
      <c r="M155" s="221">
        <f t="shared" si="16"/>
        <v>0</v>
      </c>
      <c r="N155" s="221">
        <f t="shared" si="17"/>
        <v>22</v>
      </c>
      <c r="O155" s="221">
        <f t="shared" si="14"/>
        <v>22</v>
      </c>
      <c r="P155" s="240" t="e">
        <f t="shared" si="15"/>
        <v>#DIV/0!</v>
      </c>
    </row>
    <row r="156" spans="1:16" ht="33" customHeight="1">
      <c r="A156" s="225"/>
      <c r="B156" s="256" t="s">
        <v>431</v>
      </c>
      <c r="C156" s="257"/>
      <c r="D156" s="258"/>
      <c r="E156" s="221"/>
      <c r="F156" s="221"/>
      <c r="G156" s="221"/>
      <c r="H156" s="221"/>
      <c r="I156" s="221"/>
      <c r="J156" s="221"/>
      <c r="K156" s="221"/>
      <c r="L156" s="221">
        <v>3</v>
      </c>
      <c r="M156" s="221">
        <f t="shared" si="16"/>
        <v>0</v>
      </c>
      <c r="N156" s="221">
        <f t="shared" si="17"/>
        <v>3</v>
      </c>
      <c r="O156" s="221">
        <f t="shared" si="14"/>
        <v>3</v>
      </c>
      <c r="P156" s="240" t="e">
        <f t="shared" si="15"/>
        <v>#DIV/0!</v>
      </c>
    </row>
    <row r="157" spans="1:16" ht="58.5" customHeight="1">
      <c r="A157" s="225"/>
      <c r="B157" s="253" t="s">
        <v>432</v>
      </c>
      <c r="C157" s="254"/>
      <c r="D157" s="255"/>
      <c r="E157" s="221"/>
      <c r="F157" s="221"/>
      <c r="G157" s="221"/>
      <c r="H157" s="221"/>
      <c r="I157" s="221"/>
      <c r="J157" s="221">
        <v>15.2</v>
      </c>
      <c r="K157" s="221"/>
      <c r="L157" s="221"/>
      <c r="M157" s="221">
        <f t="shared" si="16"/>
        <v>0</v>
      </c>
      <c r="N157" s="221">
        <f t="shared" si="17"/>
        <v>15.2</v>
      </c>
      <c r="O157" s="221">
        <f t="shared" si="14"/>
        <v>15.2</v>
      </c>
      <c r="P157" s="240" t="e">
        <f t="shared" si="15"/>
        <v>#DIV/0!</v>
      </c>
    </row>
    <row r="158" spans="1:16" ht="35.25" customHeight="1">
      <c r="A158" s="225"/>
      <c r="B158" s="253" t="s">
        <v>433</v>
      </c>
      <c r="C158" s="254"/>
      <c r="D158" s="255"/>
      <c r="E158" s="221"/>
      <c r="F158" s="221"/>
      <c r="G158" s="221"/>
      <c r="H158" s="221"/>
      <c r="I158" s="221"/>
      <c r="J158" s="221"/>
      <c r="K158" s="221"/>
      <c r="L158" s="221">
        <v>14.8</v>
      </c>
      <c r="M158" s="221">
        <f t="shared" si="16"/>
        <v>0</v>
      </c>
      <c r="N158" s="221">
        <f t="shared" si="17"/>
        <v>14.8</v>
      </c>
      <c r="O158" s="221">
        <f t="shared" si="14"/>
        <v>14.8</v>
      </c>
      <c r="P158" s="240" t="e">
        <f t="shared" si="15"/>
        <v>#DIV/0!</v>
      </c>
    </row>
    <row r="159" spans="1:16" ht="48.75" customHeight="1">
      <c r="A159" s="225"/>
      <c r="B159" s="253" t="s">
        <v>434</v>
      </c>
      <c r="C159" s="254"/>
      <c r="D159" s="255"/>
      <c r="E159" s="221"/>
      <c r="F159" s="221"/>
      <c r="G159" s="221"/>
      <c r="H159" s="221"/>
      <c r="I159" s="221"/>
      <c r="J159" s="221"/>
      <c r="K159" s="221"/>
      <c r="L159" s="221">
        <v>13.3</v>
      </c>
      <c r="M159" s="221">
        <f t="shared" si="16"/>
        <v>0</v>
      </c>
      <c r="N159" s="221">
        <f t="shared" si="17"/>
        <v>13.3</v>
      </c>
      <c r="O159" s="221">
        <f t="shared" si="14"/>
        <v>13.3</v>
      </c>
      <c r="P159" s="240" t="e">
        <f t="shared" si="15"/>
        <v>#DIV/0!</v>
      </c>
    </row>
    <row r="160" spans="1:16" ht="36.75" customHeight="1">
      <c r="A160" s="225"/>
      <c r="B160" s="253" t="s">
        <v>435</v>
      </c>
      <c r="C160" s="254"/>
      <c r="D160" s="255"/>
      <c r="E160" s="221"/>
      <c r="F160" s="221"/>
      <c r="G160" s="221"/>
      <c r="H160" s="221"/>
      <c r="I160" s="221"/>
      <c r="J160" s="221"/>
      <c r="K160" s="221"/>
      <c r="L160" s="221">
        <v>13</v>
      </c>
      <c r="M160" s="221">
        <f t="shared" si="16"/>
        <v>0</v>
      </c>
      <c r="N160" s="221">
        <f t="shared" si="17"/>
        <v>13</v>
      </c>
      <c r="O160" s="221">
        <f t="shared" si="14"/>
        <v>13</v>
      </c>
      <c r="P160" s="240" t="e">
        <f t="shared" si="15"/>
        <v>#DIV/0!</v>
      </c>
    </row>
    <row r="161" spans="1:16" ht="46.5" customHeight="1">
      <c r="A161" s="225"/>
      <c r="B161" s="253" t="s">
        <v>436</v>
      </c>
      <c r="C161" s="254"/>
      <c r="D161" s="255"/>
      <c r="E161" s="221"/>
      <c r="F161" s="221"/>
      <c r="G161" s="221"/>
      <c r="H161" s="221"/>
      <c r="I161" s="221"/>
      <c r="J161" s="221"/>
      <c r="K161" s="221"/>
      <c r="L161" s="221">
        <v>25.1</v>
      </c>
      <c r="M161" s="221">
        <f t="shared" si="16"/>
        <v>0</v>
      </c>
      <c r="N161" s="221">
        <f t="shared" si="17"/>
        <v>25.1</v>
      </c>
      <c r="O161" s="221">
        <f t="shared" si="14"/>
        <v>25.1</v>
      </c>
      <c r="P161" s="240" t="e">
        <f t="shared" si="15"/>
        <v>#DIV/0!</v>
      </c>
    </row>
    <row r="162" spans="1:16" ht="31.5" customHeight="1">
      <c r="A162" s="225"/>
      <c r="B162" s="253" t="s">
        <v>437</v>
      </c>
      <c r="C162" s="254"/>
      <c r="D162" s="255"/>
      <c r="E162" s="221"/>
      <c r="F162" s="221"/>
      <c r="G162" s="221"/>
      <c r="H162" s="221"/>
      <c r="I162" s="221"/>
      <c r="J162" s="221">
        <v>10.7</v>
      </c>
      <c r="K162" s="221"/>
      <c r="L162" s="221"/>
      <c r="M162" s="221">
        <f t="shared" si="16"/>
        <v>0</v>
      </c>
      <c r="N162" s="221">
        <f t="shared" si="17"/>
        <v>10.7</v>
      </c>
      <c r="O162" s="221">
        <f t="shared" si="14"/>
        <v>10.7</v>
      </c>
      <c r="P162" s="240" t="e">
        <f t="shared" si="15"/>
        <v>#DIV/0!</v>
      </c>
    </row>
    <row r="163" spans="1:16" ht="39" customHeight="1">
      <c r="A163" s="225"/>
      <c r="B163" s="253" t="s">
        <v>438</v>
      </c>
      <c r="C163" s="254"/>
      <c r="D163" s="255"/>
      <c r="E163" s="221"/>
      <c r="F163" s="221"/>
      <c r="G163" s="221"/>
      <c r="H163" s="221"/>
      <c r="I163" s="221"/>
      <c r="J163" s="221">
        <v>7.3</v>
      </c>
      <c r="K163" s="221"/>
      <c r="L163" s="221"/>
      <c r="M163" s="221">
        <f t="shared" si="16"/>
        <v>0</v>
      </c>
      <c r="N163" s="221">
        <f t="shared" si="17"/>
        <v>7.3</v>
      </c>
      <c r="O163" s="221">
        <f t="shared" si="14"/>
        <v>7.3</v>
      </c>
      <c r="P163" s="240" t="e">
        <f t="shared" si="15"/>
        <v>#DIV/0!</v>
      </c>
    </row>
    <row r="164" spans="1:16" ht="33" customHeight="1">
      <c r="A164" s="225"/>
      <c r="B164" s="253" t="s">
        <v>439</v>
      </c>
      <c r="C164" s="254"/>
      <c r="D164" s="255"/>
      <c r="E164" s="221"/>
      <c r="F164" s="221"/>
      <c r="G164" s="221"/>
      <c r="H164" s="221"/>
      <c r="I164" s="221"/>
      <c r="J164" s="221">
        <v>3.2</v>
      </c>
      <c r="K164" s="221"/>
      <c r="L164" s="221"/>
      <c r="M164" s="221">
        <f t="shared" si="16"/>
        <v>0</v>
      </c>
      <c r="N164" s="221">
        <f t="shared" si="17"/>
        <v>3.2</v>
      </c>
      <c r="O164" s="221">
        <f t="shared" si="14"/>
        <v>3.2</v>
      </c>
      <c r="P164" s="240" t="e">
        <f t="shared" si="15"/>
        <v>#DIV/0!</v>
      </c>
    </row>
    <row r="165" spans="1:16" ht="48.75" customHeight="1">
      <c r="A165" s="225"/>
      <c r="B165" s="253" t="s">
        <v>440</v>
      </c>
      <c r="C165" s="254"/>
      <c r="D165" s="255"/>
      <c r="E165" s="259"/>
      <c r="F165" s="221"/>
      <c r="G165" s="221"/>
      <c r="H165" s="221"/>
      <c r="I165" s="221"/>
      <c r="J165" s="221">
        <v>8.4</v>
      </c>
      <c r="K165" s="221"/>
      <c r="L165" s="221"/>
      <c r="M165" s="221">
        <f t="shared" si="16"/>
        <v>0</v>
      </c>
      <c r="N165" s="221">
        <f t="shared" si="17"/>
        <v>8.4</v>
      </c>
      <c r="O165" s="221">
        <f t="shared" si="14"/>
        <v>8.4</v>
      </c>
      <c r="P165" s="240" t="e">
        <f t="shared" si="15"/>
        <v>#DIV/0!</v>
      </c>
    </row>
    <row r="166" spans="1:16" ht="58.5" customHeight="1">
      <c r="A166" s="225"/>
      <c r="B166" s="253" t="s">
        <v>441</v>
      </c>
      <c r="C166" s="254"/>
      <c r="D166" s="255"/>
      <c r="E166" s="259"/>
      <c r="F166" s="221"/>
      <c r="G166" s="221"/>
      <c r="H166" s="221"/>
      <c r="I166" s="221"/>
      <c r="J166" s="221"/>
      <c r="K166" s="221"/>
      <c r="L166" s="221">
        <v>8.1</v>
      </c>
      <c r="M166" s="221">
        <f t="shared" si="16"/>
        <v>0</v>
      </c>
      <c r="N166" s="221">
        <f t="shared" si="17"/>
        <v>8.1</v>
      </c>
      <c r="O166" s="221">
        <f t="shared" si="14"/>
        <v>8.1</v>
      </c>
      <c r="P166" s="240" t="e">
        <f t="shared" si="15"/>
        <v>#DIV/0!</v>
      </c>
    </row>
    <row r="167" spans="1:16" ht="27" customHeight="1">
      <c r="A167" s="225"/>
      <c r="B167" s="253" t="s">
        <v>442</v>
      </c>
      <c r="C167" s="254"/>
      <c r="D167" s="255"/>
      <c r="E167" s="259"/>
      <c r="F167" s="221"/>
      <c r="G167" s="221"/>
      <c r="H167" s="221"/>
      <c r="I167" s="221"/>
      <c r="J167" s="221"/>
      <c r="K167" s="221"/>
      <c r="L167" s="221">
        <v>8</v>
      </c>
      <c r="M167" s="221">
        <f t="shared" si="16"/>
        <v>0</v>
      </c>
      <c r="N167" s="221">
        <f t="shared" si="17"/>
        <v>8</v>
      </c>
      <c r="O167" s="221">
        <f t="shared" si="14"/>
        <v>8</v>
      </c>
      <c r="P167" s="240" t="e">
        <f t="shared" si="15"/>
        <v>#DIV/0!</v>
      </c>
    </row>
    <row r="168" spans="1:16" ht="60.75" customHeight="1">
      <c r="A168" s="225"/>
      <c r="B168" s="253" t="s">
        <v>443</v>
      </c>
      <c r="C168" s="254"/>
      <c r="D168" s="255"/>
      <c r="E168" s="259"/>
      <c r="F168" s="221"/>
      <c r="G168" s="221"/>
      <c r="H168" s="221"/>
      <c r="I168" s="221"/>
      <c r="J168" s="221"/>
      <c r="K168" s="221"/>
      <c r="L168" s="221">
        <v>7.8</v>
      </c>
      <c r="M168" s="221">
        <f t="shared" si="16"/>
        <v>0</v>
      </c>
      <c r="N168" s="221">
        <f t="shared" si="17"/>
        <v>7.8</v>
      </c>
      <c r="O168" s="221">
        <f t="shared" si="14"/>
        <v>7.8</v>
      </c>
      <c r="P168" s="240" t="e">
        <f t="shared" si="15"/>
        <v>#DIV/0!</v>
      </c>
    </row>
    <row r="169" spans="1:16" ht="33" customHeight="1">
      <c r="A169" s="225"/>
      <c r="B169" s="253" t="s">
        <v>444</v>
      </c>
      <c r="C169" s="254"/>
      <c r="D169" s="255"/>
      <c r="E169" s="259"/>
      <c r="F169" s="221"/>
      <c r="G169" s="221"/>
      <c r="H169" s="221"/>
      <c r="I169" s="221"/>
      <c r="J169" s="221"/>
      <c r="K169" s="221"/>
      <c r="L169" s="221">
        <v>6</v>
      </c>
      <c r="M169" s="221">
        <f t="shared" si="16"/>
        <v>0</v>
      </c>
      <c r="N169" s="221">
        <f t="shared" si="17"/>
        <v>6</v>
      </c>
      <c r="O169" s="221">
        <f t="shared" si="14"/>
        <v>6</v>
      </c>
      <c r="P169" s="240" t="e">
        <f t="shared" si="15"/>
        <v>#DIV/0!</v>
      </c>
    </row>
    <row r="170" spans="1:16" ht="29.25" customHeight="1">
      <c r="A170" s="225"/>
      <c r="B170" s="253" t="s">
        <v>445</v>
      </c>
      <c r="C170" s="254"/>
      <c r="D170" s="255"/>
      <c r="E170" s="259"/>
      <c r="F170" s="221"/>
      <c r="G170" s="221"/>
      <c r="H170" s="221"/>
      <c r="I170" s="221"/>
      <c r="J170" s="221"/>
      <c r="K170" s="221"/>
      <c r="L170" s="221">
        <v>1.7</v>
      </c>
      <c r="M170" s="221">
        <f t="shared" si="16"/>
        <v>0</v>
      </c>
      <c r="N170" s="221">
        <f t="shared" si="17"/>
        <v>1.7</v>
      </c>
      <c r="O170" s="221">
        <f t="shared" si="14"/>
        <v>1.7</v>
      </c>
      <c r="P170" s="240" t="e">
        <f t="shared" si="15"/>
        <v>#DIV/0!</v>
      </c>
    </row>
    <row r="171" spans="1:16" ht="33" customHeight="1">
      <c r="A171" s="225"/>
      <c r="B171" s="253" t="s">
        <v>446</v>
      </c>
      <c r="C171" s="254"/>
      <c r="D171" s="255"/>
      <c r="E171" s="259"/>
      <c r="F171" s="245"/>
      <c r="G171" s="245"/>
      <c r="H171" s="245"/>
      <c r="I171" s="245"/>
      <c r="J171" s="245">
        <v>7.5</v>
      </c>
      <c r="K171" s="221"/>
      <c r="L171" s="221"/>
      <c r="M171" s="221">
        <f t="shared" si="16"/>
        <v>0</v>
      </c>
      <c r="N171" s="221">
        <f t="shared" si="17"/>
        <v>7.5</v>
      </c>
      <c r="O171" s="221">
        <f t="shared" si="14"/>
        <v>7.5</v>
      </c>
      <c r="P171" s="240" t="e">
        <f t="shared" si="15"/>
        <v>#DIV/0!</v>
      </c>
    </row>
    <row r="172" spans="1:16" ht="33" customHeight="1">
      <c r="A172" s="225"/>
      <c r="B172" s="256" t="s">
        <v>447</v>
      </c>
      <c r="C172" s="257"/>
      <c r="D172" s="258"/>
      <c r="E172" s="259"/>
      <c r="F172" s="221"/>
      <c r="G172" s="221"/>
      <c r="H172" s="221"/>
      <c r="I172" s="221"/>
      <c r="J172" s="221"/>
      <c r="K172" s="221"/>
      <c r="L172" s="221">
        <v>6.6</v>
      </c>
      <c r="M172" s="221">
        <f t="shared" si="16"/>
        <v>0</v>
      </c>
      <c r="N172" s="221">
        <f t="shared" si="17"/>
        <v>6.6</v>
      </c>
      <c r="O172" s="221">
        <f t="shared" si="14"/>
        <v>6.6</v>
      </c>
      <c r="P172" s="240" t="e">
        <f t="shared" si="15"/>
        <v>#DIV/0!</v>
      </c>
    </row>
    <row r="173" spans="1:16" ht="42.75" customHeight="1">
      <c r="A173" s="225"/>
      <c r="B173" s="253" t="s">
        <v>448</v>
      </c>
      <c r="C173" s="254"/>
      <c r="D173" s="255"/>
      <c r="E173" s="259"/>
      <c r="F173" s="221"/>
      <c r="G173" s="221"/>
      <c r="H173" s="221"/>
      <c r="I173" s="221"/>
      <c r="J173" s="221">
        <v>6.4</v>
      </c>
      <c r="K173" s="221"/>
      <c r="L173" s="221"/>
      <c r="M173" s="221">
        <f t="shared" si="16"/>
        <v>0</v>
      </c>
      <c r="N173" s="221">
        <f t="shared" si="17"/>
        <v>6.4</v>
      </c>
      <c r="O173" s="221">
        <f t="shared" si="14"/>
        <v>6.4</v>
      </c>
      <c r="P173" s="240" t="e">
        <f t="shared" si="15"/>
        <v>#DIV/0!</v>
      </c>
    </row>
    <row r="174" spans="1:16" ht="45" customHeight="1">
      <c r="A174" s="225"/>
      <c r="B174" s="253" t="s">
        <v>335</v>
      </c>
      <c r="C174" s="254"/>
      <c r="D174" s="255"/>
      <c r="E174" s="259"/>
      <c r="F174" s="221"/>
      <c r="G174" s="221"/>
      <c r="H174" s="221"/>
      <c r="I174" s="221"/>
      <c r="J174" s="221">
        <v>6.2</v>
      </c>
      <c r="K174" s="221"/>
      <c r="L174" s="221"/>
      <c r="M174" s="221">
        <f t="shared" si="16"/>
        <v>0</v>
      </c>
      <c r="N174" s="221">
        <f t="shared" si="17"/>
        <v>6.2</v>
      </c>
      <c r="O174" s="221">
        <f t="shared" si="14"/>
        <v>6.2</v>
      </c>
      <c r="P174" s="240" t="e">
        <f t="shared" si="15"/>
        <v>#DIV/0!</v>
      </c>
    </row>
    <row r="175" spans="1:16" ht="30.75" customHeight="1">
      <c r="A175" s="225"/>
      <c r="B175" s="256" t="s">
        <v>449</v>
      </c>
      <c r="C175" s="257"/>
      <c r="D175" s="258"/>
      <c r="E175" s="259"/>
      <c r="F175" s="221"/>
      <c r="G175" s="221"/>
      <c r="H175" s="221"/>
      <c r="I175" s="221"/>
      <c r="J175" s="221"/>
      <c r="K175" s="221"/>
      <c r="L175" s="221">
        <v>5.9</v>
      </c>
      <c r="M175" s="221">
        <f t="shared" si="16"/>
        <v>0</v>
      </c>
      <c r="N175" s="221">
        <f t="shared" si="17"/>
        <v>5.9</v>
      </c>
      <c r="O175" s="221">
        <f t="shared" si="14"/>
        <v>5.9</v>
      </c>
      <c r="P175" s="240" t="e">
        <f t="shared" si="15"/>
        <v>#DIV/0!</v>
      </c>
    </row>
    <row r="176" spans="1:16" ht="30.75" customHeight="1">
      <c r="A176" s="225"/>
      <c r="B176" s="256" t="s">
        <v>450</v>
      </c>
      <c r="C176" s="257"/>
      <c r="D176" s="258"/>
      <c r="E176" s="259"/>
      <c r="F176" s="221"/>
      <c r="G176" s="221"/>
      <c r="H176" s="221"/>
      <c r="I176" s="221"/>
      <c r="J176" s="221"/>
      <c r="K176" s="221"/>
      <c r="L176" s="221">
        <v>4</v>
      </c>
      <c r="M176" s="221">
        <f t="shared" si="16"/>
        <v>0</v>
      </c>
      <c r="N176" s="221">
        <f t="shared" si="17"/>
        <v>4</v>
      </c>
      <c r="O176" s="221">
        <f t="shared" si="14"/>
        <v>4</v>
      </c>
      <c r="P176" s="240" t="e">
        <f t="shared" si="15"/>
        <v>#DIV/0!</v>
      </c>
    </row>
    <row r="177" spans="1:16" ht="30.75" customHeight="1">
      <c r="A177" s="225"/>
      <c r="B177" s="256" t="s">
        <v>451</v>
      </c>
      <c r="C177" s="257"/>
      <c r="D177" s="258"/>
      <c r="E177" s="259"/>
      <c r="F177" s="221"/>
      <c r="G177" s="221"/>
      <c r="H177" s="221"/>
      <c r="I177" s="221"/>
      <c r="J177" s="221"/>
      <c r="K177" s="221"/>
      <c r="L177" s="221">
        <v>1.9</v>
      </c>
      <c r="M177" s="221">
        <f t="shared" si="16"/>
        <v>0</v>
      </c>
      <c r="N177" s="221">
        <f t="shared" si="17"/>
        <v>1.9</v>
      </c>
      <c r="O177" s="221">
        <f t="shared" si="14"/>
        <v>1.9</v>
      </c>
      <c r="P177" s="240" t="e">
        <f t="shared" si="15"/>
        <v>#DIV/0!</v>
      </c>
    </row>
    <row r="178" spans="1:16" ht="30.75" customHeight="1">
      <c r="A178" s="225"/>
      <c r="B178" s="256" t="s">
        <v>452</v>
      </c>
      <c r="C178" s="257"/>
      <c r="D178" s="258"/>
      <c r="E178" s="259"/>
      <c r="F178" s="221"/>
      <c r="G178" s="221"/>
      <c r="H178" s="221"/>
      <c r="I178" s="221"/>
      <c r="J178" s="221"/>
      <c r="K178" s="221"/>
      <c r="L178" s="221">
        <v>3.6</v>
      </c>
      <c r="M178" s="221">
        <f t="shared" si="16"/>
        <v>0</v>
      </c>
      <c r="N178" s="221">
        <f t="shared" si="17"/>
        <v>3.6</v>
      </c>
      <c r="O178" s="221">
        <f t="shared" si="14"/>
        <v>3.6</v>
      </c>
      <c r="P178" s="240" t="e">
        <f t="shared" si="15"/>
        <v>#DIV/0!</v>
      </c>
    </row>
    <row r="179" spans="1:16" ht="30.75" customHeight="1">
      <c r="A179" s="225"/>
      <c r="B179" s="256" t="s">
        <v>453</v>
      </c>
      <c r="C179" s="257"/>
      <c r="D179" s="258"/>
      <c r="E179" s="259"/>
      <c r="F179" s="221"/>
      <c r="G179" s="221"/>
      <c r="H179" s="221"/>
      <c r="I179" s="221"/>
      <c r="J179" s="221"/>
      <c r="K179" s="221"/>
      <c r="L179" s="221">
        <v>0.1</v>
      </c>
      <c r="M179" s="221">
        <f t="shared" si="16"/>
        <v>0</v>
      </c>
      <c r="N179" s="221">
        <f t="shared" si="17"/>
        <v>0.1</v>
      </c>
      <c r="O179" s="221">
        <f t="shared" si="14"/>
        <v>0.1</v>
      </c>
      <c r="P179" s="240" t="e">
        <f t="shared" si="15"/>
        <v>#DIV/0!</v>
      </c>
    </row>
    <row r="180" spans="1:16" ht="30.75" customHeight="1">
      <c r="A180" s="225"/>
      <c r="B180" s="256" t="s">
        <v>454</v>
      </c>
      <c r="C180" s="257"/>
      <c r="D180" s="258"/>
      <c r="E180" s="259"/>
      <c r="F180" s="221"/>
      <c r="G180" s="221"/>
      <c r="H180" s="221"/>
      <c r="I180" s="221"/>
      <c r="J180" s="221"/>
      <c r="K180" s="221"/>
      <c r="L180" s="221">
        <v>0.1</v>
      </c>
      <c r="M180" s="221">
        <f t="shared" si="16"/>
        <v>0</v>
      </c>
      <c r="N180" s="221">
        <f t="shared" si="17"/>
        <v>0.1</v>
      </c>
      <c r="O180" s="221">
        <f t="shared" si="14"/>
        <v>0.1</v>
      </c>
      <c r="P180" s="240" t="e">
        <f t="shared" si="15"/>
        <v>#DIV/0!</v>
      </c>
    </row>
    <row r="181" spans="1:16" ht="30.75" customHeight="1">
      <c r="A181" s="225"/>
      <c r="B181" s="256" t="s">
        <v>455</v>
      </c>
      <c r="C181" s="257"/>
      <c r="D181" s="258"/>
      <c r="E181" s="259"/>
      <c r="F181" s="221"/>
      <c r="G181" s="221"/>
      <c r="H181" s="221"/>
      <c r="I181" s="221"/>
      <c r="J181" s="221"/>
      <c r="K181" s="221"/>
      <c r="L181" s="221">
        <v>0.1</v>
      </c>
      <c r="M181" s="221">
        <f t="shared" si="16"/>
        <v>0</v>
      </c>
      <c r="N181" s="221">
        <f t="shared" si="17"/>
        <v>0.1</v>
      </c>
      <c r="O181" s="221">
        <f t="shared" si="14"/>
        <v>0.1</v>
      </c>
      <c r="P181" s="240" t="e">
        <f t="shared" si="15"/>
        <v>#DIV/0!</v>
      </c>
    </row>
    <row r="182" spans="1:16" ht="30.75" customHeight="1">
      <c r="A182" s="225"/>
      <c r="B182" s="256" t="s">
        <v>456</v>
      </c>
      <c r="C182" s="257"/>
      <c r="D182" s="258"/>
      <c r="E182" s="259"/>
      <c r="F182" s="221"/>
      <c r="G182" s="221"/>
      <c r="H182" s="221"/>
      <c r="I182" s="221"/>
      <c r="J182" s="221"/>
      <c r="K182" s="221"/>
      <c r="L182" s="221">
        <v>0.7</v>
      </c>
      <c r="M182" s="221">
        <f t="shared" si="16"/>
        <v>0</v>
      </c>
      <c r="N182" s="221">
        <f t="shared" si="17"/>
        <v>0.7</v>
      </c>
      <c r="O182" s="221">
        <f t="shared" si="14"/>
        <v>0.7</v>
      </c>
      <c r="P182" s="240" t="e">
        <f t="shared" si="15"/>
        <v>#DIV/0!</v>
      </c>
    </row>
    <row r="183" spans="1:16" ht="30.75" customHeight="1">
      <c r="A183" s="225"/>
      <c r="B183" s="256" t="s">
        <v>457</v>
      </c>
      <c r="C183" s="257"/>
      <c r="D183" s="258"/>
      <c r="E183" s="221"/>
      <c r="F183" s="221"/>
      <c r="G183" s="221"/>
      <c r="H183" s="221"/>
      <c r="I183" s="221"/>
      <c r="J183" s="221"/>
      <c r="K183" s="221"/>
      <c r="L183" s="221">
        <v>0.2</v>
      </c>
      <c r="M183" s="221">
        <f t="shared" si="16"/>
        <v>0</v>
      </c>
      <c r="N183" s="221">
        <f t="shared" si="17"/>
        <v>0.2</v>
      </c>
      <c r="O183" s="221">
        <f t="shared" si="14"/>
        <v>0.2</v>
      </c>
      <c r="P183" s="240" t="e">
        <f t="shared" si="15"/>
        <v>#DIV/0!</v>
      </c>
    </row>
    <row r="184" spans="1:16" ht="30.75" customHeight="1">
      <c r="A184" s="225"/>
      <c r="B184" s="256" t="s">
        <v>458</v>
      </c>
      <c r="C184" s="257"/>
      <c r="D184" s="258"/>
      <c r="E184" s="221"/>
      <c r="F184" s="221"/>
      <c r="G184" s="221"/>
      <c r="H184" s="221"/>
      <c r="I184" s="221"/>
      <c r="J184" s="221"/>
      <c r="K184" s="221"/>
      <c r="L184" s="221">
        <v>4.8</v>
      </c>
      <c r="M184" s="221">
        <f t="shared" si="16"/>
        <v>0</v>
      </c>
      <c r="N184" s="221">
        <f t="shared" si="17"/>
        <v>4.8</v>
      </c>
      <c r="O184" s="221">
        <f t="shared" si="14"/>
        <v>4.8</v>
      </c>
      <c r="P184" s="240" t="e">
        <f t="shared" si="15"/>
        <v>#DIV/0!</v>
      </c>
    </row>
    <row r="185" spans="1:16" ht="72" customHeight="1">
      <c r="A185" s="225"/>
      <c r="B185" s="253" t="s">
        <v>459</v>
      </c>
      <c r="C185" s="254"/>
      <c r="D185" s="255"/>
      <c r="E185" s="221"/>
      <c r="F185" s="221"/>
      <c r="G185" s="221"/>
      <c r="H185" s="221"/>
      <c r="I185" s="221"/>
      <c r="J185" s="221"/>
      <c r="K185" s="221"/>
      <c r="L185" s="221">
        <v>4.7</v>
      </c>
      <c r="M185" s="221">
        <f t="shared" si="16"/>
        <v>0</v>
      </c>
      <c r="N185" s="221">
        <f t="shared" si="17"/>
        <v>4.7</v>
      </c>
      <c r="O185" s="221">
        <f t="shared" si="14"/>
        <v>4.7</v>
      </c>
      <c r="P185" s="240" t="e">
        <f t="shared" si="15"/>
        <v>#DIV/0!</v>
      </c>
    </row>
    <row r="186" spans="1:16" ht="30.75" customHeight="1">
      <c r="A186" s="225"/>
      <c r="B186" s="256" t="s">
        <v>460</v>
      </c>
      <c r="C186" s="257"/>
      <c r="D186" s="258"/>
      <c r="E186" s="221"/>
      <c r="F186" s="221"/>
      <c r="G186" s="221"/>
      <c r="H186" s="221"/>
      <c r="I186" s="221"/>
      <c r="J186" s="221"/>
      <c r="K186" s="221"/>
      <c r="L186" s="221">
        <v>4</v>
      </c>
      <c r="M186" s="221">
        <f t="shared" si="16"/>
        <v>0</v>
      </c>
      <c r="N186" s="221">
        <f t="shared" si="17"/>
        <v>4</v>
      </c>
      <c r="O186" s="221">
        <f t="shared" si="14"/>
        <v>4</v>
      </c>
      <c r="P186" s="240" t="e">
        <f t="shared" si="15"/>
        <v>#DIV/0!</v>
      </c>
    </row>
    <row r="187" spans="1:16" ht="30.75" customHeight="1">
      <c r="A187" s="225"/>
      <c r="B187" s="256" t="s">
        <v>461</v>
      </c>
      <c r="C187" s="257"/>
      <c r="D187" s="258"/>
      <c r="E187" s="221"/>
      <c r="F187" s="221"/>
      <c r="G187" s="221"/>
      <c r="H187" s="221"/>
      <c r="I187" s="221"/>
      <c r="J187" s="221"/>
      <c r="K187" s="221"/>
      <c r="L187" s="221">
        <v>0.7</v>
      </c>
      <c r="M187" s="221">
        <f t="shared" si="16"/>
        <v>0</v>
      </c>
      <c r="N187" s="221">
        <f t="shared" si="17"/>
        <v>0.7</v>
      </c>
      <c r="O187" s="221">
        <f t="shared" si="14"/>
        <v>0.7</v>
      </c>
      <c r="P187" s="240" t="e">
        <f t="shared" si="15"/>
        <v>#DIV/0!</v>
      </c>
    </row>
    <row r="188" spans="1:16" ht="30.75" customHeight="1">
      <c r="A188" s="225"/>
      <c r="B188" s="256" t="s">
        <v>462</v>
      </c>
      <c r="C188" s="257"/>
      <c r="D188" s="258"/>
      <c r="E188" s="221"/>
      <c r="F188" s="221"/>
      <c r="G188" s="221"/>
      <c r="H188" s="221"/>
      <c r="I188" s="221"/>
      <c r="J188" s="221">
        <v>4</v>
      </c>
      <c r="K188" s="221"/>
      <c r="L188" s="221"/>
      <c r="M188" s="221">
        <f t="shared" si="16"/>
        <v>0</v>
      </c>
      <c r="N188" s="221">
        <f t="shared" si="17"/>
        <v>4</v>
      </c>
      <c r="O188" s="221">
        <f t="shared" si="14"/>
        <v>4</v>
      </c>
      <c r="P188" s="240" t="e">
        <f t="shared" si="15"/>
        <v>#DIV/0!</v>
      </c>
    </row>
    <row r="189" spans="1:16" ht="30.75" customHeight="1">
      <c r="A189" s="225"/>
      <c r="B189" s="256" t="s">
        <v>463</v>
      </c>
      <c r="C189" s="257"/>
      <c r="D189" s="258"/>
      <c r="E189" s="221"/>
      <c r="F189" s="221"/>
      <c r="G189" s="221"/>
      <c r="H189" s="221"/>
      <c r="I189" s="221"/>
      <c r="J189" s="221"/>
      <c r="K189" s="221"/>
      <c r="L189" s="221">
        <v>4</v>
      </c>
      <c r="M189" s="221">
        <f t="shared" si="16"/>
        <v>0</v>
      </c>
      <c r="N189" s="221">
        <f t="shared" si="17"/>
        <v>4</v>
      </c>
      <c r="O189" s="221">
        <f t="shared" si="14"/>
        <v>4</v>
      </c>
      <c r="P189" s="240" t="e">
        <f t="shared" si="15"/>
        <v>#DIV/0!</v>
      </c>
    </row>
    <row r="190" spans="1:16" ht="39.75" customHeight="1">
      <c r="A190" s="225"/>
      <c r="B190" s="256" t="s">
        <v>464</v>
      </c>
      <c r="C190" s="257"/>
      <c r="D190" s="258"/>
      <c r="E190" s="221"/>
      <c r="F190" s="221"/>
      <c r="G190" s="221"/>
      <c r="H190" s="221"/>
      <c r="I190" s="221"/>
      <c r="J190" s="221">
        <v>3.5</v>
      </c>
      <c r="K190" s="221"/>
      <c r="L190" s="221"/>
      <c r="M190" s="221">
        <f t="shared" si="16"/>
        <v>0</v>
      </c>
      <c r="N190" s="221">
        <f t="shared" si="17"/>
        <v>3.5</v>
      </c>
      <c r="O190" s="221">
        <f t="shared" si="14"/>
        <v>3.5</v>
      </c>
      <c r="P190" s="240" t="e">
        <f t="shared" si="15"/>
        <v>#DIV/0!</v>
      </c>
    </row>
    <row r="191" spans="1:16" ht="33.75" customHeight="1">
      <c r="A191" s="225"/>
      <c r="B191" s="256" t="s">
        <v>465</v>
      </c>
      <c r="C191" s="257"/>
      <c r="D191" s="258"/>
      <c r="E191" s="221"/>
      <c r="F191" s="221"/>
      <c r="G191" s="221"/>
      <c r="H191" s="221"/>
      <c r="I191" s="221"/>
      <c r="J191" s="221">
        <v>3.3</v>
      </c>
      <c r="K191" s="221"/>
      <c r="L191" s="221"/>
      <c r="M191" s="221">
        <f t="shared" si="16"/>
        <v>0</v>
      </c>
      <c r="N191" s="221">
        <f t="shared" si="17"/>
        <v>3.3</v>
      </c>
      <c r="O191" s="221">
        <f t="shared" si="14"/>
        <v>3.3</v>
      </c>
      <c r="P191" s="240" t="e">
        <f t="shared" si="15"/>
        <v>#DIV/0!</v>
      </c>
    </row>
    <row r="192" spans="1:16" ht="42.75" customHeight="1">
      <c r="A192" s="225"/>
      <c r="B192" s="253" t="s">
        <v>466</v>
      </c>
      <c r="C192" s="254"/>
      <c r="D192" s="255"/>
      <c r="E192" s="221"/>
      <c r="F192" s="221"/>
      <c r="G192" s="221"/>
      <c r="H192" s="221"/>
      <c r="I192" s="221"/>
      <c r="J192" s="221">
        <v>0.8</v>
      </c>
      <c r="K192" s="221"/>
      <c r="L192" s="221"/>
      <c r="M192" s="221">
        <f t="shared" si="16"/>
        <v>0</v>
      </c>
      <c r="N192" s="221">
        <f t="shared" si="17"/>
        <v>0.8</v>
      </c>
      <c r="O192" s="221">
        <f t="shared" si="14"/>
        <v>0.8</v>
      </c>
      <c r="P192" s="240" t="e">
        <f t="shared" si="15"/>
        <v>#DIV/0!</v>
      </c>
    </row>
    <row r="193" spans="1:16" ht="48.75" customHeight="1">
      <c r="A193" s="225"/>
      <c r="B193" s="253" t="s">
        <v>467</v>
      </c>
      <c r="C193" s="254"/>
      <c r="D193" s="255"/>
      <c r="E193" s="221"/>
      <c r="F193" s="221"/>
      <c r="G193" s="221"/>
      <c r="H193" s="221"/>
      <c r="I193" s="221"/>
      <c r="J193" s="221">
        <v>2.2000000000000002</v>
      </c>
      <c r="K193" s="221"/>
      <c r="L193" s="221"/>
      <c r="M193" s="221">
        <f t="shared" si="16"/>
        <v>0</v>
      </c>
      <c r="N193" s="221">
        <f t="shared" si="17"/>
        <v>2.2000000000000002</v>
      </c>
      <c r="O193" s="221">
        <f t="shared" si="14"/>
        <v>2.2000000000000002</v>
      </c>
      <c r="P193" s="240" t="e">
        <f t="shared" si="15"/>
        <v>#DIV/0!</v>
      </c>
    </row>
    <row r="194" spans="1:16" ht="30.75" customHeight="1">
      <c r="A194" s="225"/>
      <c r="B194" s="256" t="s">
        <v>468</v>
      </c>
      <c r="C194" s="257"/>
      <c r="D194" s="258"/>
      <c r="E194" s="221"/>
      <c r="F194" s="221"/>
      <c r="G194" s="221"/>
      <c r="H194" s="221"/>
      <c r="I194" s="221"/>
      <c r="J194" s="221"/>
      <c r="K194" s="221"/>
      <c r="L194" s="221">
        <v>2.8</v>
      </c>
      <c r="M194" s="221">
        <f t="shared" si="16"/>
        <v>0</v>
      </c>
      <c r="N194" s="221">
        <f t="shared" si="17"/>
        <v>2.8</v>
      </c>
      <c r="O194" s="221">
        <f t="shared" si="14"/>
        <v>2.8</v>
      </c>
      <c r="P194" s="240" t="e">
        <f t="shared" si="15"/>
        <v>#DIV/0!</v>
      </c>
    </row>
    <row r="195" spans="1:16" ht="57.75" customHeight="1">
      <c r="A195" s="225"/>
      <c r="B195" s="253" t="s">
        <v>469</v>
      </c>
      <c r="C195" s="254"/>
      <c r="D195" s="255"/>
      <c r="E195" s="221"/>
      <c r="F195" s="221"/>
      <c r="G195" s="221"/>
      <c r="H195" s="221"/>
      <c r="I195" s="221"/>
      <c r="J195" s="221">
        <v>2.4</v>
      </c>
      <c r="K195" s="221"/>
      <c r="L195" s="221"/>
      <c r="M195" s="221">
        <f t="shared" si="16"/>
        <v>0</v>
      </c>
      <c r="N195" s="221">
        <f t="shared" si="17"/>
        <v>2.4</v>
      </c>
      <c r="O195" s="221">
        <f t="shared" si="14"/>
        <v>2.4</v>
      </c>
      <c r="P195" s="240" t="e">
        <f t="shared" si="15"/>
        <v>#DIV/0!</v>
      </c>
    </row>
    <row r="196" spans="1:16" ht="30.75" customHeight="1">
      <c r="A196" s="225"/>
      <c r="B196" s="256" t="s">
        <v>470</v>
      </c>
      <c r="C196" s="257"/>
      <c r="D196" s="258"/>
      <c r="E196" s="221"/>
      <c r="F196" s="221"/>
      <c r="G196" s="221"/>
      <c r="H196" s="221"/>
      <c r="I196" s="221"/>
      <c r="J196" s="221"/>
      <c r="K196" s="221"/>
      <c r="L196" s="221">
        <v>2.1</v>
      </c>
      <c r="M196" s="221">
        <f t="shared" si="16"/>
        <v>0</v>
      </c>
      <c r="N196" s="221">
        <f t="shared" si="17"/>
        <v>2.1</v>
      </c>
      <c r="O196" s="221">
        <f t="shared" si="14"/>
        <v>2.1</v>
      </c>
      <c r="P196" s="240" t="e">
        <f t="shared" si="15"/>
        <v>#DIV/0!</v>
      </c>
    </row>
    <row r="197" spans="1:16" ht="30.75" customHeight="1">
      <c r="A197" s="225"/>
      <c r="B197" s="256" t="s">
        <v>471</v>
      </c>
      <c r="C197" s="257"/>
      <c r="D197" s="258"/>
      <c r="E197" s="221"/>
      <c r="F197" s="221"/>
      <c r="G197" s="221"/>
      <c r="H197" s="221"/>
      <c r="I197" s="221"/>
      <c r="J197" s="221"/>
      <c r="K197" s="221"/>
      <c r="L197" s="221">
        <v>0.2</v>
      </c>
      <c r="M197" s="221">
        <f t="shared" si="16"/>
        <v>0</v>
      </c>
      <c r="N197" s="221">
        <f t="shared" si="17"/>
        <v>0.2</v>
      </c>
      <c r="O197" s="221">
        <f t="shared" si="14"/>
        <v>0.2</v>
      </c>
      <c r="P197" s="240" t="e">
        <f t="shared" si="15"/>
        <v>#DIV/0!</v>
      </c>
    </row>
    <row r="198" spans="1:16" ht="33" customHeight="1">
      <c r="A198" s="225"/>
      <c r="B198" s="256" t="s">
        <v>472</v>
      </c>
      <c r="C198" s="257"/>
      <c r="D198" s="258"/>
      <c r="E198" s="221"/>
      <c r="F198" s="221"/>
      <c r="G198" s="221"/>
      <c r="H198" s="221"/>
      <c r="I198" s="221"/>
      <c r="J198" s="221">
        <v>1.6</v>
      </c>
      <c r="K198" s="221"/>
      <c r="L198" s="221"/>
      <c r="M198" s="221">
        <f t="shared" si="16"/>
        <v>0</v>
      </c>
      <c r="N198" s="221">
        <f t="shared" si="17"/>
        <v>1.6</v>
      </c>
      <c r="O198" s="221">
        <f t="shared" si="14"/>
        <v>1.6</v>
      </c>
      <c r="P198" s="240" t="e">
        <f t="shared" si="15"/>
        <v>#DIV/0!</v>
      </c>
    </row>
    <row r="199" spans="1:16" ht="30.75" customHeight="1">
      <c r="A199" s="225"/>
      <c r="B199" s="247" t="s">
        <v>287</v>
      </c>
      <c r="C199" s="248"/>
      <c r="D199" s="249"/>
      <c r="E199" s="221"/>
      <c r="F199" s="221"/>
      <c r="G199" s="221"/>
      <c r="H199" s="221"/>
      <c r="I199" s="221"/>
      <c r="J199" s="221">
        <v>1</v>
      </c>
      <c r="K199" s="221"/>
      <c r="L199" s="260"/>
      <c r="M199" s="221">
        <f t="shared" si="16"/>
        <v>0</v>
      </c>
      <c r="N199" s="221">
        <f t="shared" si="17"/>
        <v>1</v>
      </c>
      <c r="O199" s="221">
        <f t="shared" si="14"/>
        <v>1</v>
      </c>
      <c r="P199" s="240" t="e">
        <f t="shared" si="15"/>
        <v>#DIV/0!</v>
      </c>
    </row>
    <row r="200" spans="1:16" ht="46.5" customHeight="1">
      <c r="A200" s="225"/>
      <c r="B200" s="241" t="s">
        <v>473</v>
      </c>
      <c r="C200" s="242"/>
      <c r="D200" s="243"/>
      <c r="E200" s="221"/>
      <c r="F200" s="221"/>
      <c r="G200" s="221"/>
      <c r="H200" s="221"/>
      <c r="I200" s="221"/>
      <c r="J200" s="221">
        <v>1</v>
      </c>
      <c r="K200" s="221"/>
      <c r="L200" s="260"/>
      <c r="M200" s="221">
        <f t="shared" si="16"/>
        <v>0</v>
      </c>
      <c r="N200" s="221">
        <f t="shared" si="17"/>
        <v>1</v>
      </c>
      <c r="O200" s="221">
        <f t="shared" si="14"/>
        <v>1</v>
      </c>
      <c r="P200" s="240" t="e">
        <f t="shared" si="15"/>
        <v>#DIV/0!</v>
      </c>
    </row>
    <row r="201" spans="1:16" ht="30.75" customHeight="1">
      <c r="A201" s="225"/>
      <c r="B201" s="247" t="s">
        <v>474</v>
      </c>
      <c r="C201" s="248"/>
      <c r="D201" s="249"/>
      <c r="E201" s="221"/>
      <c r="F201" s="221"/>
      <c r="G201" s="221"/>
      <c r="H201" s="221"/>
      <c r="I201" s="221"/>
      <c r="J201" s="221"/>
      <c r="K201" s="221"/>
      <c r="L201" s="260">
        <v>0.9</v>
      </c>
      <c r="M201" s="221">
        <f t="shared" si="16"/>
        <v>0</v>
      </c>
      <c r="N201" s="221">
        <f t="shared" si="17"/>
        <v>0.9</v>
      </c>
      <c r="O201" s="221">
        <f t="shared" si="14"/>
        <v>0.9</v>
      </c>
      <c r="P201" s="240" t="e">
        <f t="shared" si="15"/>
        <v>#DIV/0!</v>
      </c>
    </row>
    <row r="202" spans="1:16" ht="30.75" customHeight="1">
      <c r="A202" s="225"/>
      <c r="B202" s="247" t="s">
        <v>288</v>
      </c>
      <c r="C202" s="248"/>
      <c r="D202" s="249"/>
      <c r="E202" s="221"/>
      <c r="F202" s="221"/>
      <c r="G202" s="221"/>
      <c r="H202" s="221"/>
      <c r="I202" s="221"/>
      <c r="J202" s="221"/>
      <c r="K202" s="221"/>
      <c r="L202" s="260">
        <v>0.5</v>
      </c>
      <c r="M202" s="221">
        <f t="shared" si="16"/>
        <v>0</v>
      </c>
      <c r="N202" s="221">
        <f t="shared" si="17"/>
        <v>0.5</v>
      </c>
      <c r="O202" s="221">
        <f t="shared" ref="O202:O215" si="18">N202-M202</f>
        <v>0.5</v>
      </c>
      <c r="P202" s="240" t="e">
        <f t="shared" ref="P202:P215" si="19">(N202/M202)*100</f>
        <v>#DIV/0!</v>
      </c>
    </row>
    <row r="203" spans="1:16" ht="30.75" customHeight="1">
      <c r="A203" s="225"/>
      <c r="B203" s="247" t="s">
        <v>475</v>
      </c>
      <c r="C203" s="248"/>
      <c r="D203" s="249"/>
      <c r="E203" s="221"/>
      <c r="F203" s="221"/>
      <c r="G203" s="221"/>
      <c r="H203" s="221"/>
      <c r="I203" s="221"/>
      <c r="J203" s="221"/>
      <c r="K203" s="221"/>
      <c r="L203" s="260">
        <v>0.4</v>
      </c>
      <c r="M203" s="221">
        <f t="shared" ref="M203:M214" si="20">E203+G203+I203+K203</f>
        <v>0</v>
      </c>
      <c r="N203" s="221">
        <f t="shared" ref="N203:N214" si="21">F203+H203+J203+L203</f>
        <v>0.4</v>
      </c>
      <c r="O203" s="221">
        <f t="shared" si="18"/>
        <v>0.4</v>
      </c>
      <c r="P203" s="240" t="e">
        <f t="shared" si="19"/>
        <v>#DIV/0!</v>
      </c>
    </row>
    <row r="204" spans="1:16" ht="30.75" customHeight="1">
      <c r="A204" s="225"/>
      <c r="B204" s="247" t="s">
        <v>476</v>
      </c>
      <c r="C204" s="248"/>
      <c r="D204" s="249"/>
      <c r="E204" s="221"/>
      <c r="F204" s="221"/>
      <c r="G204" s="221"/>
      <c r="H204" s="221"/>
      <c r="I204" s="221"/>
      <c r="J204" s="221"/>
      <c r="K204" s="221"/>
      <c r="L204" s="260">
        <v>0.2</v>
      </c>
      <c r="M204" s="221">
        <f t="shared" si="20"/>
        <v>0</v>
      </c>
      <c r="N204" s="221">
        <f t="shared" si="21"/>
        <v>0.2</v>
      </c>
      <c r="O204" s="221">
        <f t="shared" si="18"/>
        <v>0.2</v>
      </c>
      <c r="P204" s="240" t="e">
        <f t="shared" si="19"/>
        <v>#DIV/0!</v>
      </c>
    </row>
    <row r="205" spans="1:16" ht="30.75" customHeight="1">
      <c r="A205" s="225"/>
      <c r="B205" s="247" t="s">
        <v>477</v>
      </c>
      <c r="C205" s="248"/>
      <c r="D205" s="249"/>
      <c r="E205" s="221"/>
      <c r="F205" s="221"/>
      <c r="G205" s="221"/>
      <c r="H205" s="221"/>
      <c r="I205" s="221"/>
      <c r="J205" s="221"/>
      <c r="K205" s="221"/>
      <c r="L205" s="261">
        <v>0.3</v>
      </c>
      <c r="M205" s="221">
        <f t="shared" si="20"/>
        <v>0</v>
      </c>
      <c r="N205" s="221">
        <f t="shared" si="21"/>
        <v>0.3</v>
      </c>
      <c r="O205" s="221">
        <f t="shared" si="18"/>
        <v>0.3</v>
      </c>
      <c r="P205" s="240" t="e">
        <f t="shared" si="19"/>
        <v>#DIV/0!</v>
      </c>
    </row>
    <row r="206" spans="1:16" ht="30.75" customHeight="1">
      <c r="A206" s="225"/>
      <c r="B206" s="247" t="s">
        <v>478</v>
      </c>
      <c r="C206" s="248"/>
      <c r="D206" s="249"/>
      <c r="E206" s="221"/>
      <c r="F206" s="221"/>
      <c r="G206" s="221"/>
      <c r="H206" s="221"/>
      <c r="I206" s="221"/>
      <c r="J206" s="221"/>
      <c r="K206" s="221"/>
      <c r="L206" s="261">
        <v>0.2</v>
      </c>
      <c r="M206" s="221">
        <f t="shared" si="20"/>
        <v>0</v>
      </c>
      <c r="N206" s="221">
        <f t="shared" si="21"/>
        <v>0.2</v>
      </c>
      <c r="O206" s="221">
        <f t="shared" si="18"/>
        <v>0.2</v>
      </c>
      <c r="P206" s="240" t="e">
        <f t="shared" si="19"/>
        <v>#DIV/0!</v>
      </c>
    </row>
    <row r="207" spans="1:16" ht="36.75" customHeight="1">
      <c r="A207" s="225"/>
      <c r="B207" s="247" t="s">
        <v>289</v>
      </c>
      <c r="C207" s="248"/>
      <c r="D207" s="249"/>
      <c r="E207" s="221"/>
      <c r="F207" s="221"/>
      <c r="G207" s="221"/>
      <c r="H207" s="221"/>
      <c r="I207" s="221"/>
      <c r="J207" s="221"/>
      <c r="K207" s="221"/>
      <c r="L207" s="260">
        <v>0.1</v>
      </c>
      <c r="M207" s="221">
        <f t="shared" si="20"/>
        <v>0</v>
      </c>
      <c r="N207" s="221">
        <f t="shared" si="21"/>
        <v>0.1</v>
      </c>
      <c r="O207" s="221">
        <f t="shared" si="18"/>
        <v>0.1</v>
      </c>
      <c r="P207" s="240" t="e">
        <f t="shared" si="19"/>
        <v>#DIV/0!</v>
      </c>
    </row>
    <row r="208" spans="1:16" ht="36.75" customHeight="1">
      <c r="A208" s="225"/>
      <c r="B208" s="247" t="s">
        <v>479</v>
      </c>
      <c r="C208" s="248"/>
      <c r="D208" s="249"/>
      <c r="E208" s="221"/>
      <c r="F208" s="221"/>
      <c r="G208" s="221"/>
      <c r="H208" s="221"/>
      <c r="I208" s="221"/>
      <c r="J208" s="221"/>
      <c r="K208" s="221"/>
      <c r="L208" s="262">
        <v>0.1</v>
      </c>
      <c r="M208" s="221">
        <f t="shared" si="20"/>
        <v>0</v>
      </c>
      <c r="N208" s="221">
        <f t="shared" si="21"/>
        <v>0.1</v>
      </c>
      <c r="O208" s="221">
        <f t="shared" si="18"/>
        <v>0.1</v>
      </c>
      <c r="P208" s="240" t="e">
        <f t="shared" si="19"/>
        <v>#DIV/0!</v>
      </c>
    </row>
    <row r="209" spans="1:20" ht="30.75" customHeight="1">
      <c r="A209" s="225"/>
      <c r="B209" s="247" t="s">
        <v>480</v>
      </c>
      <c r="C209" s="248"/>
      <c r="D209" s="249"/>
      <c r="E209" s="221"/>
      <c r="F209" s="221"/>
      <c r="G209" s="221"/>
      <c r="H209" s="221"/>
      <c r="I209" s="221"/>
      <c r="J209" s="221"/>
      <c r="K209" s="221"/>
      <c r="L209" s="263">
        <v>0.7</v>
      </c>
      <c r="M209" s="221">
        <f t="shared" si="20"/>
        <v>0</v>
      </c>
      <c r="N209" s="221">
        <f t="shared" si="21"/>
        <v>0.7</v>
      </c>
      <c r="O209" s="221">
        <f t="shared" si="18"/>
        <v>0.7</v>
      </c>
      <c r="P209" s="240" t="e">
        <f t="shared" si="19"/>
        <v>#DIV/0!</v>
      </c>
    </row>
    <row r="210" spans="1:20" ht="39.75" customHeight="1">
      <c r="A210" s="225"/>
      <c r="B210" s="247" t="s">
        <v>481</v>
      </c>
      <c r="C210" s="248"/>
      <c r="D210" s="249"/>
      <c r="E210" s="221"/>
      <c r="F210" s="221"/>
      <c r="G210" s="221"/>
      <c r="H210" s="221"/>
      <c r="I210" s="221"/>
      <c r="J210" s="221">
        <v>1.2</v>
      </c>
      <c r="K210" s="221"/>
      <c r="L210" s="263"/>
      <c r="M210" s="221">
        <f t="shared" si="20"/>
        <v>0</v>
      </c>
      <c r="N210" s="221">
        <f t="shared" si="21"/>
        <v>1.2</v>
      </c>
      <c r="O210" s="221">
        <f t="shared" si="18"/>
        <v>1.2</v>
      </c>
      <c r="P210" s="240" t="e">
        <f t="shared" si="19"/>
        <v>#DIV/0!</v>
      </c>
    </row>
    <row r="211" spans="1:20" ht="30.75" customHeight="1">
      <c r="A211" s="225"/>
      <c r="B211" s="247" t="s">
        <v>482</v>
      </c>
      <c r="C211" s="248"/>
      <c r="D211" s="249"/>
      <c r="E211" s="221"/>
      <c r="F211" s="221"/>
      <c r="G211" s="221"/>
      <c r="H211" s="221"/>
      <c r="I211" s="221"/>
      <c r="J211" s="221">
        <v>0.4</v>
      </c>
      <c r="K211" s="221"/>
      <c r="L211" s="264"/>
      <c r="M211" s="221">
        <f t="shared" si="20"/>
        <v>0</v>
      </c>
      <c r="N211" s="221">
        <f t="shared" si="21"/>
        <v>0.4</v>
      </c>
      <c r="O211" s="221">
        <f t="shared" si="18"/>
        <v>0.4</v>
      </c>
      <c r="P211" s="240" t="e">
        <f t="shared" si="19"/>
        <v>#DIV/0!</v>
      </c>
    </row>
    <row r="212" spans="1:20" ht="46.5" customHeight="1">
      <c r="A212" s="225"/>
      <c r="B212" s="241" t="s">
        <v>483</v>
      </c>
      <c r="C212" s="242"/>
      <c r="D212" s="243"/>
      <c r="E212" s="221"/>
      <c r="F212" s="221"/>
      <c r="G212" s="221"/>
      <c r="H212" s="221"/>
      <c r="I212" s="221"/>
      <c r="J212" s="221"/>
      <c r="K212" s="221"/>
      <c r="L212" s="263">
        <v>52.2</v>
      </c>
      <c r="M212" s="221">
        <f t="shared" si="20"/>
        <v>0</v>
      </c>
      <c r="N212" s="221">
        <f t="shared" si="21"/>
        <v>52.2</v>
      </c>
      <c r="O212" s="221">
        <f t="shared" si="18"/>
        <v>52.2</v>
      </c>
      <c r="P212" s="240" t="e">
        <f t="shared" si="19"/>
        <v>#DIV/0!</v>
      </c>
    </row>
    <row r="213" spans="1:20" s="232" customFormat="1" ht="42.75" customHeight="1">
      <c r="A213" s="225" t="s">
        <v>105</v>
      </c>
      <c r="B213" s="226" t="s">
        <v>248</v>
      </c>
      <c r="C213" s="227"/>
      <c r="D213" s="228"/>
      <c r="E213" s="240"/>
      <c r="F213" s="240"/>
      <c r="G213" s="240">
        <f>SUM(G214:G214)</f>
        <v>0</v>
      </c>
      <c r="H213" s="240">
        <f t="shared" ref="H213:K213" si="22">SUM(H214:H214)</f>
        <v>0</v>
      </c>
      <c r="I213" s="240">
        <f t="shared" si="22"/>
        <v>0</v>
      </c>
      <c r="J213" s="240">
        <f t="shared" si="22"/>
        <v>0</v>
      </c>
      <c r="K213" s="240">
        <f t="shared" si="22"/>
        <v>0</v>
      </c>
      <c r="L213" s="265">
        <f>SUM(L214:L214)</f>
        <v>3109.8</v>
      </c>
      <c r="M213" s="240">
        <f t="shared" si="20"/>
        <v>0</v>
      </c>
      <c r="N213" s="240">
        <f t="shared" si="21"/>
        <v>3109.8</v>
      </c>
      <c r="O213" s="240">
        <f t="shared" si="18"/>
        <v>3109.8</v>
      </c>
      <c r="P213" s="240" t="e">
        <f t="shared" si="19"/>
        <v>#DIV/0!</v>
      </c>
    </row>
    <row r="214" spans="1:20" ht="85.5" customHeight="1">
      <c r="A214" s="266"/>
      <c r="B214" s="253" t="s">
        <v>217</v>
      </c>
      <c r="C214" s="254"/>
      <c r="D214" s="255"/>
      <c r="E214" s="221"/>
      <c r="F214" s="221"/>
      <c r="G214" s="221"/>
      <c r="H214" s="221"/>
      <c r="I214" s="221"/>
      <c r="J214" s="221"/>
      <c r="K214" s="267"/>
      <c r="L214" s="268">
        <v>3109.8</v>
      </c>
      <c r="M214" s="240">
        <f t="shared" si="20"/>
        <v>0</v>
      </c>
      <c r="N214" s="221">
        <f t="shared" si="21"/>
        <v>3109.8</v>
      </c>
      <c r="O214" s="240">
        <f t="shared" si="18"/>
        <v>3109.8</v>
      </c>
      <c r="P214" s="221" t="e">
        <f t="shared" si="19"/>
        <v>#DIV/0!</v>
      </c>
    </row>
    <row r="215" spans="1:20" ht="40.5" customHeight="1">
      <c r="A215" s="269" t="s">
        <v>9</v>
      </c>
      <c r="B215" s="270"/>
      <c r="C215" s="270"/>
      <c r="D215" s="270"/>
      <c r="E215" s="240">
        <f>E9+E69</f>
        <v>0</v>
      </c>
      <c r="F215" s="240">
        <f>F9+F69</f>
        <v>0</v>
      </c>
      <c r="G215" s="240">
        <f>G9+G69+G213+G7</f>
        <v>3000.6</v>
      </c>
      <c r="H215" s="240">
        <f t="shared" ref="H215:M215" si="23">H9+H69+H213+H7</f>
        <v>6938.0959999999995</v>
      </c>
      <c r="I215" s="240">
        <f t="shared" si="23"/>
        <v>0</v>
      </c>
      <c r="J215" s="240">
        <f t="shared" si="23"/>
        <v>553.09999999999991</v>
      </c>
      <c r="K215" s="240">
        <f t="shared" si="23"/>
        <v>0</v>
      </c>
      <c r="L215" s="240">
        <f t="shared" si="23"/>
        <v>17717.900000000001</v>
      </c>
      <c r="M215" s="240">
        <f t="shared" si="23"/>
        <v>3000.6</v>
      </c>
      <c r="N215" s="240">
        <f>N9+N69+N213+N7</f>
        <v>25209.095999999998</v>
      </c>
      <c r="O215" s="240">
        <f t="shared" si="18"/>
        <v>22208.495999999999</v>
      </c>
      <c r="P215" s="240">
        <f t="shared" si="19"/>
        <v>840.13517296540692</v>
      </c>
      <c r="T215" s="246"/>
    </row>
    <row r="216" spans="1:20" ht="18" hidden="1" customHeight="1">
      <c r="A216" s="271"/>
      <c r="B216" s="218"/>
      <c r="C216" s="272"/>
      <c r="D216" s="272"/>
      <c r="E216" s="272"/>
      <c r="F216" s="272"/>
      <c r="G216" s="272"/>
      <c r="H216" s="272"/>
      <c r="I216" s="272"/>
      <c r="J216" s="272"/>
      <c r="L216" s="273"/>
    </row>
    <row r="217" spans="1:20" s="273" customFormat="1" ht="19.5" hidden="1" customHeight="1">
      <c r="B217" s="274"/>
      <c r="C217" s="218"/>
      <c r="D217" s="218"/>
      <c r="E217" s="218"/>
      <c r="F217" s="218"/>
      <c r="L217" s="216"/>
    </row>
    <row r="218" spans="1:20" s="275" customFormat="1" ht="71.25" customHeight="1">
      <c r="B218" s="276" t="s">
        <v>637</v>
      </c>
      <c r="C218" s="277"/>
      <c r="D218" s="277"/>
      <c r="E218" s="278"/>
      <c r="F218" s="278"/>
      <c r="G218" s="279"/>
      <c r="H218" s="279"/>
      <c r="I218" s="279"/>
      <c r="J218" s="280"/>
      <c r="K218" s="281" t="s">
        <v>186</v>
      </c>
      <c r="L218" s="281"/>
      <c r="M218" s="281"/>
    </row>
    <row r="219" spans="1:20" s="273" customFormat="1" ht="19.5" customHeight="1">
      <c r="B219" s="282" t="s">
        <v>10</v>
      </c>
      <c r="C219" s="282"/>
      <c r="D219" s="282"/>
      <c r="E219" s="283"/>
      <c r="F219" s="283"/>
      <c r="G219" s="284"/>
      <c r="H219" s="285" t="s">
        <v>11</v>
      </c>
      <c r="I219" s="284"/>
      <c r="J219" s="283"/>
      <c r="K219" s="282" t="s">
        <v>17</v>
      </c>
      <c r="L219" s="282"/>
      <c r="M219" s="282"/>
    </row>
    <row r="220" spans="1:20" ht="20.100000000000001" customHeight="1">
      <c r="B220" s="286"/>
      <c r="C220" s="287"/>
      <c r="D220" s="287"/>
      <c r="E220" s="288"/>
      <c r="F220" s="288"/>
      <c r="G220" s="288"/>
      <c r="H220" s="288"/>
      <c r="I220" s="288"/>
      <c r="J220" s="288"/>
      <c r="L220" s="289"/>
    </row>
    <row r="221" spans="1:20" ht="20.100000000000001" customHeight="1">
      <c r="B221" s="286"/>
      <c r="C221" s="287"/>
      <c r="D221" s="287"/>
      <c r="E221" s="287"/>
      <c r="F221" s="287"/>
      <c r="G221" s="287"/>
      <c r="H221" s="287"/>
      <c r="I221" s="287"/>
      <c r="J221" s="287"/>
      <c r="L221" s="289"/>
    </row>
    <row r="222" spans="1:20">
      <c r="B222" s="286"/>
      <c r="C222" s="287"/>
      <c r="D222" s="287"/>
      <c r="E222" s="287"/>
      <c r="F222" s="287"/>
      <c r="G222" s="287"/>
      <c r="H222" s="287"/>
      <c r="I222" s="287"/>
      <c r="J222" s="287"/>
      <c r="L222" s="289"/>
    </row>
    <row r="223" spans="1:20" s="291" customFormat="1" ht="19.149999999999999" customHeight="1">
      <c r="A223" s="290" t="s">
        <v>52</v>
      </c>
    </row>
    <row r="226" spans="2:2">
      <c r="B226" s="292"/>
    </row>
    <row r="227" spans="2:2">
      <c r="B227" s="292"/>
    </row>
    <row r="228" spans="2:2">
      <c r="B228" s="292"/>
    </row>
    <row r="229" spans="2:2">
      <c r="B229" s="292"/>
    </row>
    <row r="230" spans="2:2">
      <c r="B230" s="292"/>
    </row>
    <row r="231" spans="2:2">
      <c r="B231" s="292"/>
    </row>
    <row r="232" spans="2:2">
      <c r="B232" s="292"/>
    </row>
  </sheetData>
  <mergeCells count="223">
    <mergeCell ref="B8:D8"/>
    <mergeCell ref="B7:D7"/>
    <mergeCell ref="B176:D176"/>
    <mergeCell ref="B177:D177"/>
    <mergeCell ref="B167:D167"/>
    <mergeCell ref="B168:D168"/>
    <mergeCell ref="B169:D169"/>
    <mergeCell ref="B170:D170"/>
    <mergeCell ref="B171:D171"/>
    <mergeCell ref="B172:D172"/>
    <mergeCell ref="B173:D173"/>
    <mergeCell ref="B174:D174"/>
    <mergeCell ref="B175:D175"/>
    <mergeCell ref="B154:D154"/>
    <mergeCell ref="B159:D159"/>
    <mergeCell ref="B160:D160"/>
    <mergeCell ref="B161:D161"/>
    <mergeCell ref="B162:D162"/>
    <mergeCell ref="B163:D163"/>
    <mergeCell ref="B164:D164"/>
    <mergeCell ref="B165:D165"/>
    <mergeCell ref="B166:D166"/>
    <mergeCell ref="B140:D140"/>
    <mergeCell ref="B141:D141"/>
    <mergeCell ref="B142:D142"/>
    <mergeCell ref="B143:D143"/>
    <mergeCell ref="B144:D144"/>
    <mergeCell ref="B145:D145"/>
    <mergeCell ref="B146:D146"/>
    <mergeCell ref="B147:D147"/>
    <mergeCell ref="B148:D148"/>
    <mergeCell ref="B131:D131"/>
    <mergeCell ref="B132:D132"/>
    <mergeCell ref="B133:D133"/>
    <mergeCell ref="B134:D134"/>
    <mergeCell ref="B135:D135"/>
    <mergeCell ref="B136:D136"/>
    <mergeCell ref="B137:D137"/>
    <mergeCell ref="B138:D138"/>
    <mergeCell ref="B139:D139"/>
    <mergeCell ref="B122:D122"/>
    <mergeCell ref="B123:D123"/>
    <mergeCell ref="B124:D124"/>
    <mergeCell ref="B125:D125"/>
    <mergeCell ref="B126:D126"/>
    <mergeCell ref="B127:D127"/>
    <mergeCell ref="B128:D128"/>
    <mergeCell ref="B129:D129"/>
    <mergeCell ref="B130:D130"/>
    <mergeCell ref="B79:D79"/>
    <mergeCell ref="B80:D80"/>
    <mergeCell ref="B39:D39"/>
    <mergeCell ref="B40:D40"/>
    <mergeCell ref="B41:D41"/>
    <mergeCell ref="B42:D42"/>
    <mergeCell ref="B43:D43"/>
    <mergeCell ref="B44:D44"/>
    <mergeCell ref="B60:D60"/>
    <mergeCell ref="B61:D61"/>
    <mergeCell ref="B62:D62"/>
    <mergeCell ref="B77:D77"/>
    <mergeCell ref="B81:D81"/>
    <mergeCell ref="B82:D82"/>
    <mergeCell ref="B83:D83"/>
    <mergeCell ref="B84:D84"/>
    <mergeCell ref="B85:D85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71:D71"/>
    <mergeCell ref="B72:D72"/>
    <mergeCell ref="B73:D73"/>
    <mergeCell ref="B63:D63"/>
    <mergeCell ref="B64:D64"/>
    <mergeCell ref="B65:D65"/>
    <mergeCell ref="B66:D66"/>
    <mergeCell ref="B67:D67"/>
    <mergeCell ref="B68:D68"/>
    <mergeCell ref="B78:D78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155:D155"/>
    <mergeCell ref="B156:D156"/>
    <mergeCell ref="B157:D157"/>
    <mergeCell ref="B158:D158"/>
    <mergeCell ref="B211:D211"/>
    <mergeCell ref="B212:D212"/>
    <mergeCell ref="B206:D206"/>
    <mergeCell ref="B207:D207"/>
    <mergeCell ref="B208:D208"/>
    <mergeCell ref="B209:D209"/>
    <mergeCell ref="B210:D210"/>
    <mergeCell ref="B202:D202"/>
    <mergeCell ref="B203:D203"/>
    <mergeCell ref="B204:D204"/>
    <mergeCell ref="B205:D205"/>
    <mergeCell ref="B178:D178"/>
    <mergeCell ref="B196:D196"/>
    <mergeCell ref="B197:D197"/>
    <mergeCell ref="B101:D101"/>
    <mergeCell ref="B102:D102"/>
    <mergeCell ref="B103:D103"/>
    <mergeCell ref="B104:D104"/>
    <mergeCell ref="B105:D105"/>
    <mergeCell ref="B106:D106"/>
    <mergeCell ref="B95:D95"/>
    <mergeCell ref="B96:D96"/>
    <mergeCell ref="B97:D97"/>
    <mergeCell ref="B98:D98"/>
    <mergeCell ref="B99:D99"/>
    <mergeCell ref="B100:D100"/>
    <mergeCell ref="B116:D116"/>
    <mergeCell ref="B117:D117"/>
    <mergeCell ref="B118:D118"/>
    <mergeCell ref="B119:D119"/>
    <mergeCell ref="B120:D120"/>
    <mergeCell ref="B121:D121"/>
    <mergeCell ref="B86:D86"/>
    <mergeCell ref="B87:D87"/>
    <mergeCell ref="B88:D88"/>
    <mergeCell ref="B89:D89"/>
    <mergeCell ref="B90:D90"/>
    <mergeCell ref="B92:D92"/>
    <mergeCell ref="B91:D91"/>
    <mergeCell ref="B93:D93"/>
    <mergeCell ref="B94:D94"/>
    <mergeCell ref="B107:D107"/>
    <mergeCell ref="B108:D108"/>
    <mergeCell ref="B109:D109"/>
    <mergeCell ref="B110:D110"/>
    <mergeCell ref="B111:D111"/>
    <mergeCell ref="B112:D112"/>
    <mergeCell ref="B113:D113"/>
    <mergeCell ref="B114:D114"/>
    <mergeCell ref="B115:D115"/>
    <mergeCell ref="B11:D11"/>
    <mergeCell ref="B10:D10"/>
    <mergeCell ref="B213:D213"/>
    <mergeCell ref="B70:D70"/>
    <mergeCell ref="B151:D151"/>
    <mergeCell ref="B152:D152"/>
    <mergeCell ref="B153:D153"/>
    <mergeCell ref="B149:D149"/>
    <mergeCell ref="B150:D150"/>
    <mergeCell ref="B74:D74"/>
    <mergeCell ref="B75:D75"/>
    <mergeCell ref="B194:D194"/>
    <mergeCell ref="B195:D195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201:D201"/>
    <mergeCell ref="B179:D179"/>
    <mergeCell ref="B214:D214"/>
    <mergeCell ref="B180:D180"/>
    <mergeCell ref="B181:D181"/>
    <mergeCell ref="B182:D182"/>
    <mergeCell ref="B183:D183"/>
    <mergeCell ref="B184:D184"/>
    <mergeCell ref="B185:D185"/>
    <mergeCell ref="B186:D186"/>
    <mergeCell ref="B187:D187"/>
    <mergeCell ref="B188:D188"/>
    <mergeCell ref="B192:D192"/>
    <mergeCell ref="B189:D189"/>
    <mergeCell ref="B193:D193"/>
    <mergeCell ref="B198:D198"/>
    <mergeCell ref="B199:D199"/>
    <mergeCell ref="B200:D200"/>
    <mergeCell ref="B191:D191"/>
    <mergeCell ref="B190:D190"/>
    <mergeCell ref="A215:D215"/>
    <mergeCell ref="A223:XFD223"/>
    <mergeCell ref="B218:D218"/>
    <mergeCell ref="G218:I218"/>
    <mergeCell ref="K218:M218"/>
    <mergeCell ref="K219:M219"/>
    <mergeCell ref="B219:D219"/>
    <mergeCell ref="D2:M2"/>
    <mergeCell ref="M4:P4"/>
    <mergeCell ref="G4:H4"/>
    <mergeCell ref="K4:L4"/>
    <mergeCell ref="I4:J4"/>
    <mergeCell ref="E4:F4"/>
    <mergeCell ref="A4:A5"/>
    <mergeCell ref="B9:D9"/>
    <mergeCell ref="B69:D69"/>
    <mergeCell ref="B6:D6"/>
    <mergeCell ref="B4:D5"/>
    <mergeCell ref="B45:D45"/>
    <mergeCell ref="B46:D46"/>
    <mergeCell ref="B48:D48"/>
    <mergeCell ref="B47:D47"/>
    <mergeCell ref="B49:D49"/>
    <mergeCell ref="B50:D50"/>
  </mergeCells>
  <phoneticPr fontId="4" type="noConversion"/>
  <pageMargins left="0.39370078740157483" right="0.39370078740157483" top="0.78740157480314965" bottom="0.39370078740157483" header="0.19685039370078741" footer="0.31496062992125984"/>
  <pageSetup paperSize="9" scale="47" fitToHeight="9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10</vt:i4>
      </vt:variant>
    </vt:vector>
  </HeadingPairs>
  <TitlesOfParts>
    <vt:vector size="15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2026-01-15T14:50:19Z</cp:lastPrinted>
  <dcterms:created xsi:type="dcterms:W3CDTF">2003-03-13T16:00:22Z</dcterms:created>
  <dcterms:modified xsi:type="dcterms:W3CDTF">2026-01-16T09:49:40Z</dcterms:modified>
</cp:coreProperties>
</file>